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8"/>
  </bookViews>
  <sheets>
    <sheet name="time" sheetId="1" r:id="rId1"/>
    <sheet name="horiz" sheetId="2" r:id="rId2"/>
    <sheet name="tran" sheetId="3" r:id="rId3"/>
    <sheet name="plan" sheetId="4" r:id="rId4"/>
    <sheet name="osc kiev" sheetId="5" r:id="rId5"/>
    <sheet name="osc planeph" sheetId="6" r:id="rId6"/>
    <sheet name="sun" sheetId="7" r:id="rId7"/>
    <sheet name="sunr" sheetId="8" r:id="rId8"/>
    <sheet name="altitude graph" sheetId="9" r:id="rId9"/>
    <sheet name="moon" sheetId="10" r:id="rId10"/>
  </sheets>
  <definedNames>
    <definedName name="_xlnm.Print_Area" localSheetId="8">'altitude graph'!$A$1:$N$32</definedName>
    <definedName name="_xlnm.Print_Area" localSheetId="9">'moon'!$A$1:$K$41</definedName>
    <definedName name="Excel_BuiltIn_Print_Area" localSheetId="8">'altitude graph'!$A$1:$N$32</definedName>
    <definedName name="Excel_BuiltIn_Print_Area" localSheetId="9">'moon'!$A$1:$K$41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5" authorId="0">
      <text>
        <r>
          <rPr>
            <b/>
            <sz val="8"/>
            <color indexed="8"/>
            <rFont val="Tahoma"/>
            <family val="0"/>
          </rPr>
          <t xml:space="preserve">West longitudes negative
</t>
        </r>
      </text>
    </comment>
    <comment ref="B7" authorId="0">
      <text>
        <r>
          <rPr>
            <b/>
            <sz val="8"/>
            <color indexed="8"/>
            <rFont val="Tahoma"/>
            <family val="0"/>
          </rPr>
          <t>Time zones west of Greenwich taken as negative. Mostly whole numbers of hours but some half hours in Pakistan and India</t>
        </r>
      </text>
    </comment>
    <comment ref="B8" authorId="0">
      <text>
        <r>
          <rPr>
            <b/>
            <sz val="8"/>
            <color indexed="8"/>
            <rFont val="Tahoma"/>
            <family val="0"/>
          </rPr>
          <t xml:space="preserve">Daylight Saving Time tends to be applied in Summer at higher latitudes.
</t>
        </r>
      </text>
    </comment>
    <comment ref="E5" authorId="0">
      <text>
        <r>
          <rPr>
            <b/>
            <sz val="8"/>
            <color indexed="8"/>
            <rFont val="Tahoma"/>
            <family val="0"/>
          </rPr>
          <t xml:space="preserve">Only works between 1901 to 2099
</t>
        </r>
      </text>
    </comment>
    <comment ref="E7" authorId="0">
      <text>
        <r>
          <rPr>
            <b/>
            <sz val="8"/>
            <color indexed="8"/>
            <rFont val="Tahoma"/>
            <family val="0"/>
          </rPr>
          <t xml:space="preserve">Good to 0.1 second 100 years either side of J2000. Truncated from Meeus 11.4
</t>
        </r>
      </text>
    </comment>
  </commentList>
</comments>
</file>

<file path=xl/comments10.xml><?xml version="1.0" encoding="utf-8"?>
<comments xmlns="http://schemas.openxmlformats.org/spreadsheetml/2006/main">
  <authors>
    <author> </author>
  </authors>
  <commentList>
    <comment ref="B5" authorId="0">
      <text>
        <r>
          <rPr>
            <b/>
            <sz val="8"/>
            <color indexed="8"/>
            <rFont val="Tahoma"/>
            <family val="0"/>
          </rPr>
          <t xml:space="preserve">West longitudes negative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B5" authorId="0">
      <text>
        <r>
          <rPr>
            <b/>
            <sz val="8"/>
            <color indexed="8"/>
            <rFont val="Tahoma"/>
            <family val="0"/>
          </rPr>
          <t xml:space="preserve">West longitudes negative
</t>
        </r>
      </text>
    </comment>
    <comment ref="B7" authorId="0">
      <text>
        <r>
          <rPr>
            <b/>
            <sz val="8"/>
            <color indexed="8"/>
            <rFont val="Tahoma"/>
            <family val="0"/>
          </rPr>
          <t>Time zones west of Greenwich taken as negative. Mostly whole numbers of hours but some half hours in Pakistan and India</t>
        </r>
      </text>
    </comment>
    <comment ref="B8" authorId="0">
      <text>
        <r>
          <rPr>
            <b/>
            <sz val="8"/>
            <color indexed="8"/>
            <rFont val="Tahoma"/>
            <family val="0"/>
          </rPr>
          <t xml:space="preserve">Daylight Saving Time tends to be applied in Summer at higher latitudes.
</t>
        </r>
      </text>
    </comment>
    <comment ref="B18" authorId="0">
      <text>
        <r>
          <rPr>
            <b/>
            <sz val="8"/>
            <color indexed="8"/>
            <rFont val="Tahoma"/>
            <family val="0"/>
          </rPr>
          <t xml:space="preserve">Only works between 1901 to 2099
</t>
        </r>
      </text>
    </comment>
    <comment ref="B20" authorId="0">
      <text>
        <r>
          <rPr>
            <b/>
            <sz val="8"/>
            <color indexed="8"/>
            <rFont val="Tahoma"/>
            <family val="0"/>
          </rPr>
          <t xml:space="preserve">Good to 0.1 second 100 years either side of J2000. Truncated from Meeus 11.4
</t>
        </r>
      </text>
    </comment>
    <comment ref="E8" authorId="0">
      <text>
        <r>
          <rPr>
            <b/>
            <sz val="8"/>
            <color indexed="8"/>
            <rFont val="Tahoma"/>
            <family val="0"/>
          </rPr>
          <t>precession formulas only good for 50 years either side of J2000.0 and for declinations that are not too great (less than 70 deg)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B5" authorId="0">
      <text>
        <r>
          <rPr>
            <b/>
            <sz val="8"/>
            <color indexed="8"/>
            <rFont val="Tahoma"/>
            <family val="0"/>
          </rPr>
          <t xml:space="preserve">West longitudes negative
</t>
        </r>
      </text>
    </comment>
    <comment ref="B7" authorId="0">
      <text>
        <r>
          <rPr>
            <b/>
            <sz val="8"/>
            <color indexed="8"/>
            <rFont val="Tahoma"/>
            <family val="0"/>
          </rPr>
          <t>Time zones west of Greenwich taken as negative. Mostly whole numbers of hours but some half hours in Pakistan and India</t>
        </r>
      </text>
    </comment>
    <comment ref="B8" authorId="0">
      <text>
        <r>
          <rPr>
            <b/>
            <sz val="8"/>
            <color indexed="8"/>
            <rFont val="Tahoma"/>
            <family val="0"/>
          </rPr>
          <t xml:space="preserve">Daylight Saving Time tends to be applied in Summer at higher latitudes.
</t>
        </r>
      </text>
    </comment>
    <comment ref="B16" authorId="0">
      <text>
        <r>
          <rPr>
            <b/>
            <sz val="8"/>
            <color indexed="8"/>
            <rFont val="Tahoma"/>
            <family val="0"/>
          </rPr>
          <t xml:space="preserve">Only works between 1901 to 2099
</t>
        </r>
      </text>
    </comment>
    <comment ref="B18" authorId="0">
      <text>
        <r>
          <rPr>
            <b/>
            <sz val="8"/>
            <color indexed="8"/>
            <rFont val="Tahoma"/>
            <family val="0"/>
          </rPr>
          <t xml:space="preserve">Good to 0.1 second 100 years either side of J2000. Truncated from Meeus 11.4
</t>
        </r>
      </text>
    </comment>
    <comment ref="E8" authorId="0">
      <text>
        <r>
          <rPr>
            <b/>
            <sz val="8"/>
            <color indexed="8"/>
            <rFont val="Tahoma"/>
            <family val="0"/>
          </rPr>
          <t>only accurate for 50 years either side of J2000 and for stars with declinations less than 40 degrees</t>
        </r>
      </text>
    </comment>
    <comment ref="F11" authorId="0">
      <text>
        <r>
          <rPr>
            <b/>
            <sz val="8"/>
            <color indexed="8"/>
            <rFont val="Tahoma"/>
            <family val="0"/>
          </rPr>
          <t xml:space="preserve">add the difference between LST at midnight and RA of object to find transit time, multiply by 0.997.. to get UT hours from midnight when transit occurs
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A24" authorId="0">
      <text>
        <r>
          <rPr>
            <b/>
            <sz val="8"/>
            <color indexed="8"/>
            <rFont val="Tahoma"/>
            <family val="0"/>
          </rPr>
          <t>Semi-major axis in au</t>
        </r>
      </text>
    </comment>
    <comment ref="A25" authorId="0">
      <text>
        <r>
          <rPr>
            <b/>
            <sz val="8"/>
            <color indexed="8"/>
            <rFont val="Tahoma"/>
            <family val="0"/>
          </rPr>
          <t>eccentricity of orbit (Mercury and Pluto need 5 term series for eq centre</t>
        </r>
      </text>
    </comment>
    <comment ref="A26" authorId="0">
      <text>
        <r>
          <rPr>
            <b/>
            <sz val="8"/>
            <color indexed="8"/>
            <rFont val="Tahoma"/>
            <family val="0"/>
          </rPr>
          <t xml:space="preserve">Inclination of orbital plane to ecliptic
</t>
        </r>
      </text>
    </comment>
    <comment ref="A27" authorId="0">
      <text>
        <r>
          <rPr>
            <sz val="8"/>
            <color indexed="8"/>
            <rFont val="Tahoma"/>
            <family val="0"/>
          </rPr>
          <t xml:space="preserve">longitude of ascending node of orbit measured from 1st pt aries
</t>
        </r>
      </text>
    </comment>
    <comment ref="A28" authorId="0">
      <text>
        <r>
          <rPr>
            <b/>
            <sz val="8"/>
            <color indexed="8"/>
            <rFont val="Tahoma"/>
            <family val="0"/>
          </rPr>
          <t xml:space="preserve">longitude of perihelion measured from 1st point of aries
</t>
        </r>
      </text>
    </comment>
    <comment ref="A29" authorId="0">
      <text>
        <r>
          <rPr>
            <b/>
            <sz val="8"/>
            <color indexed="8"/>
            <rFont val="Tahoma"/>
            <family val="0"/>
          </rPr>
          <t>Mean longitude of planet on date</t>
        </r>
      </text>
    </comment>
    <comment ref="A32" authorId="0">
      <text>
        <r>
          <rPr>
            <sz val="8"/>
            <color indexed="8"/>
            <rFont val="Tahoma"/>
            <family val="0"/>
          </rPr>
          <t xml:space="preserve">Equation of centre taken to the 5th power here as Mercury and Pluto have eccentricities higher than 0.2 - half minute error worst case for these two planets.
</t>
        </r>
      </text>
    </comment>
    <comment ref="A45" authorId="0">
      <text>
        <r>
          <rPr>
            <b/>
            <sz val="8"/>
            <color indexed="8"/>
            <rFont val="Tahoma"/>
            <family val="0"/>
          </rPr>
          <t xml:space="preserve">J2000.0 figure, or put the formula for obliquity at date if you want positions referred to equinox of date
</t>
        </r>
      </text>
    </comment>
    <comment ref="B5" authorId="0">
      <text>
        <r>
          <rPr>
            <b/>
            <sz val="8"/>
            <color indexed="8"/>
            <rFont val="Tahoma"/>
            <family val="0"/>
          </rPr>
          <t xml:space="preserve">West longitudes negative
</t>
        </r>
      </text>
    </comment>
    <comment ref="B7" authorId="0">
      <text>
        <r>
          <rPr>
            <b/>
            <sz val="8"/>
            <color indexed="8"/>
            <rFont val="Tahoma"/>
            <family val="0"/>
          </rPr>
          <t>Time zones west of Greenwich taken as negative. Mostly whole numbers of hours but some half hours in Pakistan and India</t>
        </r>
      </text>
    </comment>
    <comment ref="B8" authorId="0">
      <text>
        <r>
          <rPr>
            <b/>
            <sz val="8"/>
            <color indexed="8"/>
            <rFont val="Tahoma"/>
            <family val="0"/>
          </rPr>
          <t xml:space="preserve">Daylight Saving Time tends to be applied in Summer at higher latitudes.
</t>
        </r>
      </text>
    </comment>
    <comment ref="B18" authorId="0">
      <text>
        <r>
          <rPr>
            <b/>
            <sz val="8"/>
            <color indexed="8"/>
            <rFont val="Tahoma"/>
            <family val="0"/>
          </rPr>
          <t xml:space="preserve">Only works between 1901 to 2099
</t>
        </r>
      </text>
    </comment>
    <comment ref="B20" authorId="0">
      <text>
        <r>
          <rPr>
            <b/>
            <sz val="8"/>
            <color indexed="8"/>
            <rFont val="Tahoma"/>
            <family val="0"/>
          </rPr>
          <t xml:space="preserve">Good to 0.1 second 100 years either side of J2000. Truncated from Meeus 11.4
</t>
        </r>
      </text>
    </comment>
    <comment ref="D23" authorId="0">
      <text>
        <r>
          <rPr>
            <b/>
            <sz val="8"/>
            <color indexed="8"/>
            <rFont val="Tahoma"/>
            <family val="0"/>
          </rPr>
          <t xml:space="preserve">Strictly the Earth-Moon barycentre.
</t>
        </r>
      </text>
    </comment>
    <comment ref="G5" authorId="0">
      <text>
        <r>
          <rPr>
            <b/>
            <sz val="8"/>
            <color indexed="8"/>
            <rFont val="Tahoma"/>
            <family val="0"/>
          </rPr>
          <t>distance from Earth</t>
        </r>
      </text>
    </comment>
  </commentList>
</comments>
</file>

<file path=xl/comments5.xml><?xml version="1.0" encoding="utf-8"?>
<comments xmlns="http://schemas.openxmlformats.org/spreadsheetml/2006/main">
  <authors>
    <author> </author>
  </authors>
  <commentList>
    <comment ref="B7" authorId="0">
      <text>
        <r>
          <rPr>
            <b/>
            <sz val="8"/>
            <color indexed="8"/>
            <rFont val="Tahoma"/>
            <family val="0"/>
          </rPr>
          <t xml:space="preserve">West longitudes negative
</t>
        </r>
      </text>
    </comment>
    <comment ref="B9" authorId="0">
      <text>
        <r>
          <rPr>
            <b/>
            <sz val="8"/>
            <color indexed="8"/>
            <rFont val="Tahoma"/>
            <family val="0"/>
          </rPr>
          <t>Time zones west of Greenwich taken as negative. Mostly whole numbers of hours but some half hours in Pakistan and India</t>
        </r>
      </text>
    </comment>
    <comment ref="B10" authorId="0">
      <text>
        <r>
          <rPr>
            <b/>
            <sz val="8"/>
            <color indexed="8"/>
            <rFont val="Tahoma"/>
            <family val="0"/>
          </rPr>
          <t xml:space="preserve">Daylight Saving Time tends to be applied in Summer at higher latitudes.
</t>
        </r>
      </text>
    </comment>
    <comment ref="B20" authorId="0">
      <text>
        <r>
          <rPr>
            <b/>
            <sz val="8"/>
            <color indexed="8"/>
            <rFont val="Tahoma"/>
            <family val="0"/>
          </rPr>
          <t xml:space="preserve">Only works between 1901 to 2099
</t>
        </r>
      </text>
    </comment>
    <comment ref="B22" authorId="0">
      <text>
        <r>
          <rPr>
            <b/>
            <sz val="8"/>
            <color indexed="8"/>
            <rFont val="Tahoma"/>
            <family val="0"/>
          </rPr>
          <t xml:space="preserve">Good to 0.1 second 100 years either side of J2000. Truncated from Meeus 11.4
</t>
        </r>
      </text>
    </comment>
    <comment ref="B39" authorId="0">
      <text>
        <r>
          <rPr>
            <sz val="8"/>
            <color indexed="8"/>
            <rFont val="Tahoma"/>
            <family val="2"/>
          </rPr>
          <t xml:space="preserve">The real Mean anomaly
M' = M + n*days since date of elements
</t>
        </r>
      </text>
    </comment>
    <comment ref="C39" authorId="0">
      <text>
        <r>
          <rPr>
            <sz val="8"/>
            <color indexed="8"/>
            <rFont val="Tahoma"/>
            <family val="0"/>
          </rPr>
          <t xml:space="preserve">Equation of centre to 5th power of eccentricity
</t>
        </r>
      </text>
    </comment>
    <comment ref="G7" authorId="0">
      <text>
        <r>
          <rPr>
            <b/>
            <sz val="8"/>
            <color indexed="8"/>
            <rFont val="Tahoma"/>
            <family val="0"/>
          </rPr>
          <t>distance from Earth</t>
        </r>
      </text>
    </comment>
    <comment ref="H27" authorId="0">
      <text>
        <r>
          <rPr>
            <sz val="8"/>
            <color indexed="8"/>
            <rFont val="Tahoma"/>
            <family val="2"/>
          </rPr>
          <t xml:space="preserve">This is labelled as M and identified as 'mean anomaly' in the Kiev almanac. So mean anomaly days after the date of the elements is M = L - O + n*days
</t>
        </r>
      </text>
    </comment>
  </commentList>
</comments>
</file>

<file path=xl/comments6.xml><?xml version="1.0" encoding="utf-8"?>
<comments xmlns="http://schemas.openxmlformats.org/spreadsheetml/2006/main">
  <authors>
    <author> </author>
  </authors>
  <commentList>
    <comment ref="B7" authorId="0">
      <text>
        <r>
          <rPr>
            <b/>
            <sz val="8"/>
            <color indexed="8"/>
            <rFont val="Tahoma"/>
            <family val="0"/>
          </rPr>
          <t xml:space="preserve">West longitudes negative
</t>
        </r>
      </text>
    </comment>
    <comment ref="B9" authorId="0">
      <text>
        <r>
          <rPr>
            <b/>
            <sz val="8"/>
            <color indexed="8"/>
            <rFont val="Tahoma"/>
            <family val="0"/>
          </rPr>
          <t>Time zones west of Greenwich taken as negative. Mostly whole numbers of hours but some half hours in Pakistan and India</t>
        </r>
      </text>
    </comment>
    <comment ref="B10" authorId="0">
      <text>
        <r>
          <rPr>
            <b/>
            <sz val="8"/>
            <color indexed="8"/>
            <rFont val="Tahoma"/>
            <family val="0"/>
          </rPr>
          <t xml:space="preserve">Daylight Saving Time tends to be applied in Summer at higher latitudes.
</t>
        </r>
      </text>
    </comment>
    <comment ref="B20" authorId="0">
      <text>
        <r>
          <rPr>
            <b/>
            <sz val="8"/>
            <color indexed="8"/>
            <rFont val="Tahoma"/>
            <family val="0"/>
          </rPr>
          <t xml:space="preserve">Only works between 1901 to 2099
</t>
        </r>
      </text>
    </comment>
    <comment ref="B22" authorId="0">
      <text>
        <r>
          <rPr>
            <b/>
            <sz val="8"/>
            <color indexed="8"/>
            <rFont val="Tahoma"/>
            <family val="0"/>
          </rPr>
          <t xml:space="preserve">Good to 0.1 second 100 years either side of J2000. Truncated from Meeus 11.4
</t>
        </r>
      </text>
    </comment>
    <comment ref="B39" authorId="0">
      <text>
        <r>
          <rPr>
            <sz val="8"/>
            <color indexed="8"/>
            <rFont val="Tahoma"/>
            <family val="2"/>
          </rPr>
          <t xml:space="preserve">The real Mean anomaly
M' = M + n*days since date of elements
</t>
        </r>
      </text>
    </comment>
    <comment ref="C39" authorId="0">
      <text>
        <r>
          <rPr>
            <sz val="8"/>
            <color indexed="8"/>
            <rFont val="Tahoma"/>
            <family val="0"/>
          </rPr>
          <t xml:space="preserve">Equation of centre to 5th power of eccentricity
</t>
        </r>
      </text>
    </comment>
    <comment ref="G7" authorId="0">
      <text>
        <r>
          <rPr>
            <b/>
            <sz val="8"/>
            <color indexed="8"/>
            <rFont val="Tahoma"/>
            <family val="0"/>
          </rPr>
          <t>distance from Earth</t>
        </r>
      </text>
    </comment>
    <comment ref="H27" authorId="0">
      <text>
        <r>
          <rPr>
            <sz val="8"/>
            <color indexed="8"/>
            <rFont val="Tahoma"/>
            <family val="2"/>
          </rPr>
          <t xml:space="preserve">This is labelled as M and identified as 'mean anomaly' in the Kiev almanac. So mean anomaly days after the date of the elements is M = L - O + n*days
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A24" authorId="0">
      <text>
        <r>
          <rPr>
            <b/>
            <sz val="8"/>
            <color indexed="8"/>
            <rFont val="Tahoma"/>
            <family val="0"/>
          </rPr>
          <t xml:space="preserve">Incudes aberration
</t>
        </r>
      </text>
    </comment>
    <comment ref="A27" authorId="0">
      <text>
        <r>
          <rPr>
            <b/>
            <sz val="8"/>
            <color indexed="8"/>
            <rFont val="Tahoma"/>
            <family val="0"/>
          </rPr>
          <t xml:space="preserve">Zero by definition to good accuracy.
</t>
        </r>
      </text>
    </comment>
    <comment ref="A28" authorId="0">
      <text>
        <r>
          <rPr>
            <b/>
            <sz val="8"/>
            <color indexed="8"/>
            <rFont val="Tahoma"/>
            <family val="0"/>
          </rPr>
          <t xml:space="preserve">Very approximate formula good enough for few centuries either side of J2000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A29" authorId="0">
      <text>
        <r>
          <rPr>
            <b/>
            <sz val="8"/>
            <color indexed="8"/>
            <rFont val="Tahoma"/>
            <family val="0"/>
          </rPr>
          <t xml:space="preserve">Argument for RA by series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A30" authorId="0">
      <text>
        <r>
          <rPr>
            <b/>
            <sz val="8"/>
            <color indexed="8"/>
            <rFont val="Tahoma"/>
            <family val="0"/>
          </rPr>
          <t xml:space="preserve">Obtained direct from series (for a giggle)
</t>
        </r>
      </text>
    </comment>
    <comment ref="A32" authorId="0">
      <text>
        <r>
          <rPr>
            <b/>
            <sz val="8"/>
            <color indexed="8"/>
            <rFont val="Tahoma"/>
            <family val="0"/>
          </rPr>
          <t xml:space="preserve">apparent time minus mean time so positive when sundials ahead.
</t>
        </r>
      </text>
    </comment>
    <comment ref="D9" authorId="0">
      <text>
        <r>
          <rPr>
            <b/>
            <sz val="8"/>
            <color indexed="8"/>
            <rFont val="Tahoma"/>
            <family val="0"/>
          </rPr>
          <t xml:space="preserve">apparent time minus mean time so positive when sundials ahead.
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B5" authorId="0">
      <text>
        <r>
          <rPr>
            <b/>
            <sz val="8"/>
            <color indexed="8"/>
            <rFont val="Tahoma"/>
            <family val="0"/>
          </rPr>
          <t xml:space="preserve">West longitudes negative
</t>
        </r>
      </text>
    </comment>
  </commentList>
</comments>
</file>

<file path=xl/comments9.xml><?xml version="1.0" encoding="utf-8"?>
<comments xmlns="http://schemas.openxmlformats.org/spreadsheetml/2006/main">
  <authors>
    <author> </author>
  </authors>
  <commentList>
    <comment ref="A6" authorId="0">
      <text>
        <r>
          <rPr>
            <sz val="8"/>
            <color indexed="8"/>
            <rFont val="Tahoma"/>
            <family val="2"/>
          </rPr>
          <t>West negative
East positive
Decimal degrees</t>
        </r>
      </text>
    </comment>
    <comment ref="A7" authorId="0">
      <text>
        <r>
          <rPr>
            <sz val="8"/>
            <color indexed="8"/>
            <rFont val="Tahoma"/>
            <family val="2"/>
          </rPr>
          <t>East (ahead of UT) positive
West (behind UT) negative
Decimal hours</t>
        </r>
      </text>
    </comment>
    <comment ref="A8" authorId="0">
      <text>
        <r>
          <rPr>
            <sz val="8"/>
            <color indexed="8"/>
            <rFont val="Tahoma"/>
            <family val="2"/>
          </rPr>
          <t>Same sense as TZ, so set to 1 for 'spring forward' and 0 for 'fall back'</t>
        </r>
      </text>
    </comment>
    <comment ref="C71" authorId="0">
      <text>
        <r>
          <rPr>
            <sz val="8"/>
            <color indexed="8"/>
            <rFont val="Tahoma"/>
            <family val="2"/>
          </rPr>
          <t>This row used in moon phase calculation.</t>
        </r>
      </text>
    </comment>
    <comment ref="K58" authorId="0">
      <text>
        <r>
          <rPr>
            <sz val="8"/>
            <color indexed="8"/>
            <rFont val="Tahoma"/>
            <family val="2"/>
          </rPr>
          <t>No refraction yet</t>
        </r>
      </text>
    </comment>
  </commentList>
</comments>
</file>

<file path=xl/sharedStrings.xml><?xml version="1.0" encoding="utf-8"?>
<sst xmlns="http://schemas.openxmlformats.org/spreadsheetml/2006/main" count="652" uniqueCount="337">
  <si>
    <t>Time</t>
  </si>
  <si>
    <t>Station</t>
  </si>
  <si>
    <t>Astronomical time</t>
  </si>
  <si>
    <t>Longitude</t>
  </si>
  <si>
    <t>UT Days since J2000.0</t>
  </si>
  <si>
    <t>Latitude</t>
  </si>
  <si>
    <t>Julian centuries</t>
  </si>
  <si>
    <t>Time zone</t>
  </si>
  <si>
    <t>Mean LST</t>
  </si>
  <si>
    <t>DST</t>
  </si>
  <si>
    <t>Local date and time</t>
  </si>
  <si>
    <t>Year</t>
  </si>
  <si>
    <t>Month</t>
  </si>
  <si>
    <t>Day</t>
  </si>
  <si>
    <t>Hour</t>
  </si>
  <si>
    <t>Minute</t>
  </si>
  <si>
    <t>Horizon coordinates</t>
  </si>
  <si>
    <t>Object</t>
  </si>
  <si>
    <t>deg</t>
  </si>
  <si>
    <t>rad</t>
  </si>
  <si>
    <t>sin</t>
  </si>
  <si>
    <t>cos</t>
  </si>
  <si>
    <t>RA J2000  (decimal hrs)</t>
  </si>
  <si>
    <t>Dec J2000 (decimal degrees)</t>
  </si>
  <si>
    <t>RA (date)</t>
  </si>
  <si>
    <t>Dec (date)</t>
  </si>
  <si>
    <t>Hour Angle</t>
  </si>
  <si>
    <t>A'</t>
  </si>
  <si>
    <t>y</t>
  </si>
  <si>
    <t>x</t>
  </si>
  <si>
    <t>Azimuth</t>
  </si>
  <si>
    <t>Altitude</t>
  </si>
  <si>
    <t>Astronomical parameters</t>
  </si>
  <si>
    <t>Rise, transit and set of a star</t>
  </si>
  <si>
    <t>Mathematical horizon - no allowance for refraction</t>
  </si>
  <si>
    <t>Star</t>
  </si>
  <si>
    <t>zone date</t>
  </si>
  <si>
    <t>Transit time (zone)</t>
  </si>
  <si>
    <t>Semi-diurnal arc</t>
  </si>
  <si>
    <t>Day number and LST of zone midnight</t>
  </si>
  <si>
    <t>Planet positions</t>
  </si>
  <si>
    <t>Positions referred to equinox and mean ecliptic of J2000.0. Geocentric coords based on method on Paul Schlyter's page</t>
  </si>
  <si>
    <t>Results</t>
  </si>
  <si>
    <t>RA</t>
  </si>
  <si>
    <t>Dec</t>
  </si>
  <si>
    <t>R (au)</t>
  </si>
  <si>
    <t>Mercury</t>
  </si>
  <si>
    <t>Venus</t>
  </si>
  <si>
    <t>Mars</t>
  </si>
  <si>
    <t>Jupiter</t>
  </si>
  <si>
    <t>Saturn</t>
  </si>
  <si>
    <t>Uranus</t>
  </si>
  <si>
    <t>Neptune</t>
  </si>
  <si>
    <t>Pluto</t>
  </si>
  <si>
    <t>Mean elements (J2000.0)</t>
  </si>
  <si>
    <t>Earth</t>
  </si>
  <si>
    <t>a</t>
  </si>
  <si>
    <t>e</t>
  </si>
  <si>
    <t>i</t>
  </si>
  <si>
    <t>Om</t>
  </si>
  <si>
    <t>w</t>
  </si>
  <si>
    <t>L</t>
  </si>
  <si>
    <t>Position in orbit</t>
  </si>
  <si>
    <t>Mean anomaly</t>
  </si>
  <si>
    <t>True anomaly (rads)</t>
  </si>
  <si>
    <t>True anomaly (degs)</t>
  </si>
  <si>
    <t>Radius Vector (au)</t>
  </si>
  <si>
    <t>Heliocentric coords</t>
  </si>
  <si>
    <t>X</t>
  </si>
  <si>
    <t>Y</t>
  </si>
  <si>
    <t>Z</t>
  </si>
  <si>
    <t>Geocentric ecliptic coords</t>
  </si>
  <si>
    <t>X'</t>
  </si>
  <si>
    <t>Y'</t>
  </si>
  <si>
    <t>Z'</t>
  </si>
  <si>
    <t>Geocentric equatorial coords</t>
  </si>
  <si>
    <t>rads</t>
  </si>
  <si>
    <t>J2000.0 obliquity</t>
  </si>
  <si>
    <t>Xe</t>
  </si>
  <si>
    <t>Ye</t>
  </si>
  <si>
    <t>Ze</t>
  </si>
  <si>
    <t>declination (rads)</t>
  </si>
  <si>
    <t>right ascension (rads)</t>
  </si>
  <si>
    <t>dec (degs)</t>
  </si>
  <si>
    <t>ra (hours)</t>
  </si>
  <si>
    <t>Using the osculating elements for the planets valid for July 30th 2003</t>
  </si>
  <si>
    <t>Format of the element section matches that of the element table in the AA and the Kiev online almanac</t>
  </si>
  <si>
    <t>Osculating elements</t>
  </si>
  <si>
    <t>yr</t>
  </si>
  <si>
    <t>m</t>
  </si>
  <si>
    <t>d</t>
  </si>
  <si>
    <t>since J2K</t>
  </si>
  <si>
    <t>since date</t>
  </si>
  <si>
    <t>Date of elements</t>
  </si>
  <si>
    <t>Planet</t>
  </si>
  <si>
    <t>O</t>
  </si>
  <si>
    <t>p</t>
  </si>
  <si>
    <t>n</t>
  </si>
  <si>
    <t>M</t>
  </si>
  <si>
    <t>Heliocentric positions</t>
  </si>
  <si>
    <t>M'</t>
  </si>
  <si>
    <t>V</t>
  </si>
  <si>
    <t>r</t>
  </si>
  <si>
    <t>z</t>
  </si>
  <si>
    <t>Geocentric ecliptic positions</t>
  </si>
  <si>
    <t>Geocentric equatorial coordinates (J2000.0)</t>
  </si>
  <si>
    <t>xe</t>
  </si>
  <si>
    <t>ye</t>
  </si>
  <si>
    <t>ze</t>
  </si>
  <si>
    <t>ra(deg)</t>
  </si>
  <si>
    <t>ra(h)</t>
  </si>
  <si>
    <t>dec(deg)</t>
  </si>
  <si>
    <t>Equatorial coords (precessed to equinox and ecliptic of date using an approximate formula)</t>
  </si>
  <si>
    <t>Positions referred to equinox and mean ecliptic of date. Geocentric coords based on method on Paul Schlyter's page</t>
  </si>
  <si>
    <t>Using the osculating elements for the planets valid for July 30th 2003 calculated using the planeph program</t>
  </si>
  <si>
    <t>Sun coordinates</t>
  </si>
  <si>
    <t>Series given in Astronomical Almanac page C24 and explanatory supplement - equinox and ecliptic of date</t>
  </si>
  <si>
    <r>
      <rPr>
        <sz val="10"/>
        <rFont val="Arial"/>
        <family val="0"/>
      </rPr>
      <t>Ecliptic longitude (</t>
    </r>
    <r>
      <rPr>
        <sz val="10"/>
        <rFont val="Symbol"/>
        <family val="1"/>
      </rPr>
      <t>l</t>
    </r>
    <r>
      <rPr>
        <sz val="10"/>
        <rFont val="Arial"/>
        <family val="0"/>
      </rPr>
      <t>)</t>
    </r>
  </si>
  <si>
    <t>degs</t>
  </si>
  <si>
    <r>
      <rPr>
        <sz val="10"/>
        <rFont val="Arial"/>
        <family val="0"/>
      </rPr>
      <t>Ecliptic latitude (</t>
    </r>
    <r>
      <rPr>
        <sz val="10"/>
        <rFont val="Symbol"/>
        <family val="1"/>
      </rPr>
      <t>b</t>
    </r>
    <r>
      <rPr>
        <sz val="10"/>
        <rFont val="Arial"/>
        <family val="0"/>
      </rPr>
      <t>)</t>
    </r>
  </si>
  <si>
    <t>by definition</t>
  </si>
  <si>
    <r>
      <rPr>
        <sz val="10"/>
        <rFont val="Arial"/>
        <family val="0"/>
      </rPr>
      <t>Right ascension (</t>
    </r>
    <r>
      <rPr>
        <sz val="10"/>
        <rFont val="Symbol"/>
        <family val="1"/>
      </rPr>
      <t>a</t>
    </r>
    <r>
      <rPr>
        <sz val="10"/>
        <rFont val="Arial"/>
        <family val="0"/>
      </rPr>
      <t>)</t>
    </r>
  </si>
  <si>
    <t>hrs</t>
  </si>
  <si>
    <r>
      <rPr>
        <sz val="10"/>
        <rFont val="Arial"/>
        <family val="0"/>
      </rPr>
      <t>Declination (</t>
    </r>
    <r>
      <rPr>
        <sz val="10"/>
        <rFont val="Symbol"/>
        <family val="1"/>
      </rPr>
      <t>d</t>
    </r>
    <r>
      <rPr>
        <sz val="10"/>
        <rFont val="Arial"/>
        <family val="0"/>
      </rPr>
      <t>)</t>
    </r>
  </si>
  <si>
    <t>Equation of time (E)</t>
  </si>
  <si>
    <t>minutes</t>
  </si>
  <si>
    <t>Earth-Sun distance (R)</t>
  </si>
  <si>
    <t>au</t>
  </si>
  <si>
    <t>Semidiameter (d)</t>
  </si>
  <si>
    <t>arcminutes</t>
  </si>
  <si>
    <t>Accuracy</t>
  </si>
  <si>
    <t>Good to 0.01 degree for 50 years either side of J2000</t>
  </si>
  <si>
    <t>Sun series</t>
  </si>
  <si>
    <t>Degs</t>
  </si>
  <si>
    <t>Rads</t>
  </si>
  <si>
    <t>Mean longitude (L)</t>
  </si>
  <si>
    <t>Mean anomaly (g)</t>
  </si>
  <si>
    <r>
      <rPr>
        <sz val="10"/>
        <rFont val="Arial"/>
        <family val="0"/>
      </rPr>
      <t>Obliquity of the ecliptic (</t>
    </r>
    <r>
      <rPr>
        <sz val="10"/>
        <rFont val="Symbol"/>
        <family val="1"/>
      </rPr>
      <t>e</t>
    </r>
    <r>
      <rPr>
        <sz val="10"/>
        <rFont val="Arial"/>
        <family val="0"/>
      </rPr>
      <t>)</t>
    </r>
  </si>
  <si>
    <t>f, t</t>
  </si>
  <si>
    <t>Equation of time (E) degs</t>
  </si>
  <si>
    <t>Earth-Sun distance (R) in au</t>
  </si>
  <si>
    <t>Semidiameter</t>
  </si>
  <si>
    <t>Sunrise</t>
  </si>
  <si>
    <t>Iteration method - not good for latitudes higher than 60 degrees</t>
  </si>
  <si>
    <t>Output</t>
  </si>
  <si>
    <t>hh:mm</t>
  </si>
  <si>
    <t>Event UT</t>
  </si>
  <si>
    <t>Event zone time</t>
  </si>
  <si>
    <t>time zone</t>
  </si>
  <si>
    <t>Days since J2000</t>
  </si>
  <si>
    <t xml:space="preserve">Centuries </t>
  </si>
  <si>
    <t>Local date</t>
  </si>
  <si>
    <t>Event</t>
  </si>
  <si>
    <t>Notes</t>
  </si>
  <si>
    <t>Required alt</t>
  </si>
  <si>
    <t>Set B11 to -18 for astronomical twilight,</t>
  </si>
  <si>
    <t>Rise or set</t>
  </si>
  <si>
    <t>and -12 for nautical twilight, -6 for civil twilight</t>
  </si>
  <si>
    <t>Set B12 to -1 for setting events, or 1 for rising events</t>
  </si>
  <si>
    <t>Calculation tables (formulas in radians)</t>
  </si>
  <si>
    <t>1st iter</t>
  </si>
  <si>
    <t>2nd iter</t>
  </si>
  <si>
    <t>3rd iter</t>
  </si>
  <si>
    <t>4th iter</t>
  </si>
  <si>
    <t xml:space="preserve">note - conversion to radians </t>
  </si>
  <si>
    <t>G</t>
  </si>
  <si>
    <t>must be kept to full 16 digits for L</t>
  </si>
  <si>
    <t>ec</t>
  </si>
  <si>
    <t>otherwise serious errors</t>
  </si>
  <si>
    <t>lambda</t>
  </si>
  <si>
    <t>E</t>
  </si>
  <si>
    <t>obl</t>
  </si>
  <si>
    <t>delta</t>
  </si>
  <si>
    <t>GHA</t>
  </si>
  <si>
    <t>cosc</t>
  </si>
  <si>
    <t>correction</t>
  </si>
  <si>
    <t>utnew</t>
  </si>
  <si>
    <t>new centuries</t>
  </si>
  <si>
    <t>Seconds change</t>
  </si>
  <si>
    <t>Sun and moon altitude during a given day</t>
  </si>
  <si>
    <t>Based on a spreadsheet idea by Thomas Kraus. Sun and moon positions using approximate formulas from the Astronomical Ephemeris</t>
  </si>
  <si>
    <t>Station data</t>
  </si>
  <si>
    <t>Lat</t>
  </si>
  <si>
    <t>Long</t>
  </si>
  <si>
    <t>TZ</t>
  </si>
  <si>
    <t>Date</t>
  </si>
  <si>
    <t>Moon phase</t>
  </si>
  <si>
    <t>% lit</t>
  </si>
  <si>
    <t>Sun</t>
  </si>
  <si>
    <t>Moon</t>
  </si>
  <si>
    <t>Keith Burnett</t>
  </si>
  <si>
    <t>ping.keith@gmail.com</t>
  </si>
  <si>
    <t>http://k58.uk</t>
  </si>
  <si>
    <t>See also</t>
  </si>
  <si>
    <t>Based on Thomas Kraus's collection of astronomical Excel spreadsheets which seem to have vanished from the Web</t>
  </si>
  <si>
    <t>Constants</t>
  </si>
  <si>
    <t>Moon phase calculation (based on 12h row for date)</t>
  </si>
  <si>
    <t>Days since J2000.0</t>
  </si>
  <si>
    <t>phi</t>
  </si>
  <si>
    <t>Centuries since J2000.0</t>
  </si>
  <si>
    <t>R (km)</t>
  </si>
  <si>
    <t>LST (degs)</t>
  </si>
  <si>
    <t>r (km)</t>
  </si>
  <si>
    <t>epsilon</t>
  </si>
  <si>
    <t>R.sin(phi)</t>
  </si>
  <si>
    <t>f</t>
  </si>
  <si>
    <t>r - R.cos(phi)</t>
  </si>
  <si>
    <t>T</t>
  </si>
  <si>
    <t>percent</t>
  </si>
  <si>
    <t>Sun (C24 formulae)</t>
  </si>
  <si>
    <t>Moon (D46 low precision formulae)</t>
  </si>
  <si>
    <t>topocentric coords</t>
  </si>
  <si>
    <t>topocentric alt of moon</t>
  </si>
  <si>
    <t>hour</t>
  </si>
  <si>
    <t>days</t>
  </si>
  <si>
    <t xml:space="preserve">lsun </t>
  </si>
  <si>
    <t>g</t>
  </si>
  <si>
    <t>rasun</t>
  </si>
  <si>
    <t>decsun</t>
  </si>
  <si>
    <t>hasun</t>
  </si>
  <si>
    <t>sinsunalt</t>
  </si>
  <si>
    <t>sunalt</t>
  </si>
  <si>
    <t>t</t>
  </si>
  <si>
    <t>beta</t>
  </si>
  <si>
    <t>pi</t>
  </si>
  <si>
    <t>l</t>
  </si>
  <si>
    <t>A</t>
  </si>
  <si>
    <t>ramoon</t>
  </si>
  <si>
    <t>decmoon</t>
  </si>
  <si>
    <t>x'</t>
  </si>
  <si>
    <t>y'</t>
  </si>
  <si>
    <t>z'</t>
  </si>
  <si>
    <t>r'</t>
  </si>
  <si>
    <t>ramoon'</t>
  </si>
  <si>
    <t>decmoon'</t>
  </si>
  <si>
    <t>hamoon'</t>
  </si>
  <si>
    <t>sinmoonalt'</t>
  </si>
  <si>
    <t>moonalt'</t>
  </si>
  <si>
    <t>Moon ephemeris</t>
  </si>
  <si>
    <t>Re-worked from a BASIC program by George Rosenberg (ALPO), with libration and topocentric corrections from Meeus and other formulas from Duffett-Smith</t>
  </si>
  <si>
    <t>Altitude of Sun over selected features</t>
  </si>
  <si>
    <t>Lunar feature</t>
  </si>
  <si>
    <t>Alt</t>
  </si>
  <si>
    <t>Dummy</t>
  </si>
  <si>
    <t>Plato (centre)</t>
  </si>
  <si>
    <t>Albategnius</t>
  </si>
  <si>
    <t>Alphonsus</t>
  </si>
  <si>
    <t>Archimedes</t>
  </si>
  <si>
    <t>Arzachel</t>
  </si>
  <si>
    <t>Cleomedes (north of Mare Crisium)</t>
  </si>
  <si>
    <t>Copernicus</t>
  </si>
  <si>
    <t>Cyrillus</t>
  </si>
  <si>
    <t>Deslandres</t>
  </si>
  <si>
    <t>Endymion</t>
  </si>
  <si>
    <t>Eratosthenes</t>
  </si>
  <si>
    <t>Numerical Results</t>
  </si>
  <si>
    <t>Eudoxus</t>
  </si>
  <si>
    <t>Geocentric</t>
  </si>
  <si>
    <t>Topocentric</t>
  </si>
  <si>
    <t>Fabricus</t>
  </si>
  <si>
    <t>Co-longitude of Sun</t>
  </si>
  <si>
    <t>Maurolycus</t>
  </si>
  <si>
    <t>Libration in latitude (Bo)</t>
  </si>
  <si>
    <t>Messier</t>
  </si>
  <si>
    <t>Libration in longitude (Lo)</t>
  </si>
  <si>
    <t>Montes Apenninus</t>
  </si>
  <si>
    <t>Sub solar point (Ls)</t>
  </si>
  <si>
    <t>Montes Caucasus</t>
  </si>
  <si>
    <t>Sub solar point (Bs)</t>
  </si>
  <si>
    <t>Pitatus (within Mare Nubium)</t>
  </si>
  <si>
    <t>Longitude of terminator (+ Crisium)</t>
  </si>
  <si>
    <t>Ptolemaeus</t>
  </si>
  <si>
    <t>Nature of terminator</t>
  </si>
  <si>
    <t>Rupes Recta</t>
  </si>
  <si>
    <t>Illuminated Fraction</t>
  </si>
  <si>
    <t>Theophilus</t>
  </si>
  <si>
    <t>PA of bright limb</t>
  </si>
  <si>
    <t>Tycho</t>
  </si>
  <si>
    <t>Parallactic angle</t>
  </si>
  <si>
    <t>Werner</t>
  </si>
  <si>
    <t>PA of axis</t>
  </si>
  <si>
    <t>Days before J2000.0</t>
  </si>
  <si>
    <t>LST (degs and rads)</t>
  </si>
  <si>
    <t>Centuries</t>
  </si>
  <si>
    <t>Sun position</t>
  </si>
  <si>
    <t>Mean anomaly (M)</t>
  </si>
  <si>
    <t>Equation of centre (C)</t>
  </si>
  <si>
    <t>True anomaly (V)</t>
  </si>
  <si>
    <t>Eccentricity (Ec)</t>
  </si>
  <si>
    <t>Sun distance</t>
  </si>
  <si>
    <t>Theta (true longitude)</t>
  </si>
  <si>
    <t>Long Asc Node (Omega)</t>
  </si>
  <si>
    <t>Lambda (apparent longitude)</t>
  </si>
  <si>
    <t>Obliquity of ecliptic</t>
  </si>
  <si>
    <t>Alpha (Right Ascension)</t>
  </si>
  <si>
    <t>Delta (Declination)</t>
  </si>
  <si>
    <t>Moon position</t>
  </si>
  <si>
    <t>Argument of latitude (F)</t>
  </si>
  <si>
    <t>Mean longitude (L')</t>
  </si>
  <si>
    <t>Long. Asc. Node (Om')</t>
  </si>
  <si>
    <t>Mean anomaly (M')</t>
  </si>
  <si>
    <t>Mean elongation (D)</t>
  </si>
  <si>
    <t xml:space="preserve"> twice mean elongation (2*D)</t>
  </si>
  <si>
    <t>Lunar distance (same units)</t>
  </si>
  <si>
    <t>Distance ratio (Sun / Moon)</t>
  </si>
  <si>
    <t>Geocentric Latitude of Moon</t>
  </si>
  <si>
    <t>Longitude corrections</t>
  </si>
  <si>
    <t>Longitude of Moon</t>
  </si>
  <si>
    <t>Heliocentric longitude</t>
  </si>
  <si>
    <t>Heliocentric latitude</t>
  </si>
  <si>
    <t>Right Ascension</t>
  </si>
  <si>
    <t>Declination</t>
  </si>
  <si>
    <t xml:space="preserve">Selenographic coords of sub-earth point </t>
  </si>
  <si>
    <t>I</t>
  </si>
  <si>
    <t>W</t>
  </si>
  <si>
    <t>Lo</t>
  </si>
  <si>
    <t>Bo</t>
  </si>
  <si>
    <t xml:space="preserve">Selenographic coords of sub-solar point </t>
  </si>
  <si>
    <t>Ls</t>
  </si>
  <si>
    <t>Bs</t>
  </si>
  <si>
    <t>Illuminated fraction of Moon</t>
  </si>
  <si>
    <t>Psi</t>
  </si>
  <si>
    <t>K</t>
  </si>
  <si>
    <t>Moon's illuminated disc</t>
  </si>
  <si>
    <t>xi (position angle of bright limb)</t>
  </si>
  <si>
    <t>hour angle of Moon</t>
  </si>
  <si>
    <t>q (parallactic angle)</t>
  </si>
  <si>
    <t>PA of rotation axis</t>
  </si>
  <si>
    <t>(Neglects physical libration, so Meeus' angle V is same as Omega for Moon)</t>
  </si>
  <si>
    <t>P</t>
  </si>
  <si>
    <t>Topocentric corrections</t>
  </si>
  <si>
    <t>q</t>
  </si>
  <si>
    <t>pi (parallax of Moon)</t>
  </si>
  <si>
    <t>pi' (topocentric parallax)</t>
  </si>
  <si>
    <t>dl (libration in longitude)</t>
  </si>
  <si>
    <t>db ( libration in latitude)</t>
  </si>
  <si>
    <t>dP (PA of rot axis)</t>
  </si>
</sst>
</file>

<file path=xl/styles.xml><?xml version="1.0" encoding="utf-8"?>
<styleSheet xmlns="http://schemas.openxmlformats.org/spreadsheetml/2006/main">
  <numFmts count="19">
    <numFmt numFmtId="164" formatCode="General"/>
    <numFmt numFmtId="165" formatCode="0.0000"/>
    <numFmt numFmtId="166" formatCode="0.000000"/>
    <numFmt numFmtId="167" formatCode="0.0"/>
    <numFmt numFmtId="168" formatCode="0"/>
    <numFmt numFmtId="169" formatCode="00"/>
    <numFmt numFmtId="170" formatCode="0.00"/>
    <numFmt numFmtId="171" formatCode="0.000000000"/>
    <numFmt numFmtId="172" formatCode="0.000"/>
    <numFmt numFmtId="173" formatCode="0.00000000000"/>
    <numFmt numFmtId="174" formatCode="0.00000"/>
    <numFmt numFmtId="175" formatCode="0.0000000"/>
    <numFmt numFmtId="176" formatCode="0.00000000000000"/>
    <numFmt numFmtId="177" formatCode="0.0000000000000"/>
    <numFmt numFmtId="178" formatCode="0.000000000000"/>
    <numFmt numFmtId="179" formatCode="0.0000000000000000"/>
    <numFmt numFmtId="180" formatCode="H:MM"/>
    <numFmt numFmtId="181" formatCode="00.0"/>
    <numFmt numFmtId="182" formatCode="0.0\ ;[RED]\-0.0\ "/>
  </numFmts>
  <fonts count="1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color indexed="8"/>
      <name val="Tahoma"/>
      <family val="0"/>
    </font>
    <font>
      <i/>
      <sz val="10"/>
      <name val="Arial"/>
      <family val="2"/>
    </font>
    <font>
      <sz val="8"/>
      <color indexed="8"/>
      <name val="Tahoma"/>
      <family val="0"/>
    </font>
    <font>
      <sz val="10"/>
      <name val="Symbol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0"/>
    </font>
    <font>
      <sz val="8"/>
      <color indexed="63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horizontal="right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2" fillId="0" borderId="0" xfId="0" applyFont="1" applyAlignment="1">
      <alignment horizontal="left"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64" fontId="4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" xfId="0" applyBorder="1" applyAlignment="1">
      <alignment/>
    </xf>
    <xf numFmtId="164" fontId="0" fillId="0" borderId="2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 horizontal="right"/>
    </xf>
    <xf numFmtId="172" fontId="0" fillId="0" borderId="5" xfId="0" applyNumberFormat="1" applyBorder="1" applyAlignment="1">
      <alignment/>
    </xf>
    <xf numFmtId="170" fontId="0" fillId="0" borderId="4" xfId="0" applyNumberFormat="1" applyBorder="1" applyAlignment="1">
      <alignment/>
    </xf>
    <xf numFmtId="173" fontId="0" fillId="0" borderId="0" xfId="0" applyNumberFormat="1" applyAlignment="1">
      <alignment/>
    </xf>
    <xf numFmtId="164" fontId="0" fillId="0" borderId="0" xfId="0" applyFont="1" applyAlignment="1">
      <alignment horizontal="right"/>
    </xf>
    <xf numFmtId="165" fontId="0" fillId="0" borderId="0" xfId="0" applyNumberFormat="1" applyFont="1" applyAlignment="1">
      <alignment horizontal="center"/>
    </xf>
    <xf numFmtId="165" fontId="0" fillId="0" borderId="5" xfId="0" applyNumberFormat="1" applyBorder="1" applyAlignment="1">
      <alignment horizontal="center"/>
    </xf>
    <xf numFmtId="170" fontId="0" fillId="0" borderId="4" xfId="0" applyNumberFormat="1" applyBorder="1" applyAlignment="1">
      <alignment horizontal="center"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0" fillId="0" borderId="4" xfId="0" applyFont="1" applyBorder="1" applyAlignment="1">
      <alignment horizontal="right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75" fontId="0" fillId="0" borderId="0" xfId="0" applyNumberFormat="1" applyAlignment="1">
      <alignment/>
    </xf>
    <xf numFmtId="164" fontId="0" fillId="0" borderId="0" xfId="0" applyBorder="1" applyAlignment="1">
      <alignment horizontal="right"/>
    </xf>
    <xf numFmtId="164" fontId="2" fillId="0" borderId="0" xfId="0" applyFont="1" applyBorder="1" applyAlignment="1">
      <alignment horizontal="left"/>
    </xf>
    <xf numFmtId="164" fontId="2" fillId="0" borderId="1" xfId="0" applyFont="1" applyBorder="1" applyAlignment="1">
      <alignment/>
    </xf>
    <xf numFmtId="165" fontId="0" fillId="0" borderId="3" xfId="0" applyNumberFormat="1" applyFont="1" applyBorder="1" applyAlignment="1">
      <alignment horizontal="center"/>
    </xf>
    <xf numFmtId="164" fontId="2" fillId="0" borderId="0" xfId="0" applyFont="1" applyAlignment="1">
      <alignment/>
    </xf>
    <xf numFmtId="165" fontId="0" fillId="0" borderId="3" xfId="0" applyNumberFormat="1" applyBorder="1" applyAlignment="1">
      <alignment/>
    </xf>
    <xf numFmtId="172" fontId="0" fillId="0" borderId="0" xfId="0" applyNumberFormat="1" applyAlignment="1">
      <alignment/>
    </xf>
    <xf numFmtId="176" fontId="0" fillId="0" borderId="0" xfId="0" applyNumberFormat="1" applyAlignment="1">
      <alignment/>
    </xf>
    <xf numFmtId="174" fontId="0" fillId="0" borderId="0" xfId="0" applyNumberFormat="1" applyAlignment="1">
      <alignment/>
    </xf>
    <xf numFmtId="164" fontId="4" fillId="0" borderId="0" xfId="0" applyFont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Alignment="1">
      <alignment/>
    </xf>
    <xf numFmtId="180" fontId="0" fillId="0" borderId="0" xfId="0" applyNumberFormat="1" applyAlignment="1">
      <alignment/>
    </xf>
    <xf numFmtId="164" fontId="1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0" fillId="0" borderId="0" xfId="0" applyFill="1" applyAlignment="1">
      <alignment/>
    </xf>
    <xf numFmtId="164" fontId="0" fillId="0" borderId="0" xfId="0" applyFill="1" applyBorder="1" applyAlignment="1">
      <alignment/>
    </xf>
    <xf numFmtId="164" fontId="7" fillId="2" borderId="6" xfId="0" applyFont="1" applyFill="1" applyBorder="1" applyAlignment="1">
      <alignment/>
    </xf>
    <xf numFmtId="164" fontId="0" fillId="0" borderId="0" xfId="0" applyFill="1" applyAlignment="1">
      <alignment vertical="top"/>
    </xf>
    <xf numFmtId="164" fontId="0" fillId="0" borderId="6" xfId="0" applyFont="1" applyFill="1" applyBorder="1" applyAlignment="1">
      <alignment horizontal="right"/>
    </xf>
    <xf numFmtId="164" fontId="0" fillId="0" borderId="6" xfId="0" applyFont="1" applyFill="1" applyBorder="1" applyAlignment="1">
      <alignment/>
    </xf>
    <xf numFmtId="172" fontId="0" fillId="0" borderId="6" xfId="0" applyNumberFormat="1" applyFont="1" applyFill="1" applyBorder="1" applyAlignment="1">
      <alignment/>
    </xf>
    <xf numFmtId="164" fontId="7" fillId="0" borderId="0" xfId="0" applyFont="1" applyFill="1" applyBorder="1" applyAlignment="1">
      <alignment/>
    </xf>
    <xf numFmtId="164" fontId="0" fillId="0" borderId="0" xfId="0" applyFill="1" applyAlignment="1">
      <alignment/>
    </xf>
    <xf numFmtId="164" fontId="0" fillId="0" borderId="0" xfId="0" applyFill="1" applyBorder="1" applyAlignment="1">
      <alignment/>
    </xf>
    <xf numFmtId="164" fontId="8" fillId="0" borderId="0" xfId="0" applyFont="1" applyFill="1" applyBorder="1" applyAlignment="1">
      <alignment/>
    </xf>
    <xf numFmtId="164" fontId="0" fillId="0" borderId="0" xfId="0" applyFill="1" applyBorder="1" applyAlignment="1">
      <alignment horizontal="right"/>
    </xf>
    <xf numFmtId="164" fontId="7" fillId="3" borderId="6" xfId="0" applyFont="1" applyFill="1" applyBorder="1" applyAlignment="1">
      <alignment/>
    </xf>
    <xf numFmtId="164" fontId="0" fillId="0" borderId="6" xfId="0" applyFont="1" applyBorder="1" applyAlignment="1">
      <alignment/>
    </xf>
    <xf numFmtId="181" fontId="0" fillId="0" borderId="6" xfId="0" applyNumberFormat="1" applyBorder="1" applyAlignment="1">
      <alignment/>
    </xf>
    <xf numFmtId="164" fontId="0" fillId="0" borderId="7" xfId="0" applyFont="1" applyFill="1" applyBorder="1" applyAlignment="1">
      <alignment/>
    </xf>
    <xf numFmtId="164" fontId="0" fillId="0" borderId="8" xfId="0" applyFill="1" applyBorder="1" applyAlignment="1">
      <alignment/>
    </xf>
    <xf numFmtId="164" fontId="0" fillId="0" borderId="9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9" fillId="0" borderId="0" xfId="0" applyFont="1" applyFill="1" applyAlignment="1">
      <alignment/>
    </xf>
    <xf numFmtId="170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wrapText="1"/>
    </xf>
    <xf numFmtId="172" fontId="0" fillId="0" borderId="0" xfId="0" applyNumberFormat="1" applyAlignment="1">
      <alignment horizontal="center"/>
    </xf>
    <xf numFmtId="164" fontId="0" fillId="4" borderId="0" xfId="0" applyFill="1" applyAlignment="1">
      <alignment horizontal="center"/>
    </xf>
    <xf numFmtId="170" fontId="0" fillId="4" borderId="0" xfId="0" applyNumberFormat="1" applyFill="1" applyAlignment="1">
      <alignment horizontal="center"/>
    </xf>
    <xf numFmtId="167" fontId="0" fillId="4" borderId="0" xfId="0" applyNumberFormat="1" applyFill="1" applyAlignment="1">
      <alignment horizontal="center"/>
    </xf>
    <xf numFmtId="174" fontId="0" fillId="4" borderId="0" xfId="0" applyNumberFormat="1" applyFill="1" applyAlignment="1">
      <alignment horizontal="center"/>
    </xf>
    <xf numFmtId="165" fontId="0" fillId="4" borderId="0" xfId="0" applyNumberFormat="1" applyFill="1" applyAlignment="1">
      <alignment horizontal="center"/>
    </xf>
    <xf numFmtId="165" fontId="0" fillId="4" borderId="0" xfId="0" applyNumberFormat="1" applyFill="1" applyAlignment="1">
      <alignment horizontal="center" wrapText="1"/>
    </xf>
    <xf numFmtId="172" fontId="0" fillId="4" borderId="0" xfId="0" applyNumberFormat="1" applyFill="1" applyAlignment="1">
      <alignment horizontal="center"/>
    </xf>
    <xf numFmtId="164" fontId="11" fillId="0" borderId="0" xfId="0" applyFont="1" applyAlignment="1">
      <alignment/>
    </xf>
    <xf numFmtId="164" fontId="0" fillId="0" borderId="0" xfId="0" applyFont="1" applyFill="1" applyBorder="1" applyAlignment="1">
      <alignment horizontal="right"/>
    </xf>
    <xf numFmtId="164" fontId="0" fillId="0" borderId="9" xfId="0" applyFont="1" applyBorder="1" applyAlignment="1">
      <alignment horizontal="center"/>
    </xf>
    <xf numFmtId="167" fontId="0" fillId="0" borderId="5" xfId="0" applyNumberFormat="1" applyBorder="1" applyAlignment="1">
      <alignment/>
    </xf>
    <xf numFmtId="182" fontId="0" fillId="0" borderId="10" xfId="0" applyNumberFormat="1" applyBorder="1" applyAlignment="1">
      <alignment/>
    </xf>
    <xf numFmtId="169" fontId="0" fillId="0" borderId="0" xfId="0" applyNumberFormat="1" applyFill="1" applyBorder="1" applyAlignment="1">
      <alignment/>
    </xf>
    <xf numFmtId="164" fontId="0" fillId="0" borderId="0" xfId="0" applyFont="1" applyBorder="1" applyAlignment="1">
      <alignment horizontal="center"/>
    </xf>
    <xf numFmtId="170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72" fontId="0" fillId="0" borderId="0" xfId="0" applyNumberFormat="1" applyBorder="1" applyAlignment="1">
      <alignment horizontal="right"/>
    </xf>
    <xf numFmtId="168" fontId="0" fillId="0" borderId="0" xfId="0" applyNumberFormat="1" applyBorder="1" applyAlignment="1">
      <alignment/>
    </xf>
    <xf numFmtId="164" fontId="0" fillId="0" borderId="10" xfId="0" applyBorder="1" applyAlignment="1">
      <alignment/>
    </xf>
    <xf numFmtId="164" fontId="0" fillId="0" borderId="0" xfId="0" applyFont="1" applyFill="1" applyAlignment="1">
      <alignment horizontal="right"/>
    </xf>
    <xf numFmtId="166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4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'altitude graph'!$C$59:$C$83</c:f>
              <c:numCache/>
            </c:numRef>
          </c:xVal>
          <c:yVal>
            <c:numRef>
              <c:f>'altitude graph'!$L$59:$L$83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'altitude graph'!$C$59:$C$83</c:f>
              <c:numCache/>
            </c:numRef>
          </c:xVal>
          <c:yVal>
            <c:numRef>
              <c:f>'altitude graph'!$AG$59:$AG$83</c:f>
              <c:numCache/>
            </c:numRef>
          </c:yVal>
          <c:smooth val="1"/>
        </c:ser>
        <c:axId val="33246827"/>
        <c:axId val="30785988"/>
      </c:scatterChart>
      <c:valAx>
        <c:axId val="33246827"/>
        <c:scaling>
          <c:orientation val="minMax"/>
          <c:max val="24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none"/>
        <c:minorTickMark val="in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85988"/>
        <c:crossesAt val="-18"/>
        <c:crossBetween val="midCat"/>
        <c:dispUnits/>
        <c:majorUnit val="1"/>
        <c:minorUnit val="0.25"/>
      </c:valAx>
      <c:valAx>
        <c:axId val="30785988"/>
        <c:scaling>
          <c:orientation val="minMax"/>
          <c:max val="90"/>
          <c:min val="-18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in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46827"/>
        <c:crossesAt val="0"/>
        <c:crossBetween val="midCat"/>
        <c:dispUnits/>
        <c:majorUnit val="6"/>
        <c:minorUnit val="2"/>
      </c:valAx>
      <c:spPr>
        <a:ln w="12700">
          <a:solidFill>
            <a:srgbClr val="00000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123825</xdr:colOff>
      <xdr:row>3</xdr:row>
      <xdr:rowOff>9525</xdr:rowOff>
    </xdr:from>
    <xdr:to>
      <xdr:col>12</xdr:col>
      <xdr:colOff>542925</xdr:colOff>
      <xdr:row>24</xdr:row>
      <xdr:rowOff>57150</xdr:rowOff>
    </xdr:to>
    <xdr:graphicFrame>
      <xdr:nvGraphicFramePr>
        <xdr:cNvPr id="1" name="Chart 6"/>
        <xdr:cNvGraphicFramePr/>
      </xdr:nvGraphicFramePr>
      <xdr:xfrm>
        <a:off x="1152525" y="561975"/>
        <a:ext cx="60293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504825</xdr:colOff>
      <xdr:row>19</xdr:row>
      <xdr:rowOff>123825</xdr:rowOff>
    </xdr:from>
    <xdr:to>
      <xdr:col>12</xdr:col>
      <xdr:colOff>333375</xdr:colOff>
      <xdr:row>19</xdr:row>
      <xdr:rowOff>123825</xdr:rowOff>
    </xdr:to>
    <xdr:sp>
      <xdr:nvSpPr>
        <xdr:cNvPr id="2" name="Line 4"/>
        <xdr:cNvSpPr>
          <a:spLocks/>
        </xdr:cNvSpPr>
      </xdr:nvSpPr>
      <xdr:spPr>
        <a:xfrm>
          <a:off x="1533525" y="3267075"/>
          <a:ext cx="5438775" cy="0"/>
        </a:xfrm>
        <a:prstGeom prst="line">
          <a:avLst/>
        </a:prstGeom>
        <a:noFill/>
        <a:ln w="1908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21</xdr:row>
      <xdr:rowOff>28575</xdr:rowOff>
    </xdr:from>
    <xdr:to>
      <xdr:col>1</xdr:col>
      <xdr:colOff>295275</xdr:colOff>
      <xdr:row>21</xdr:row>
      <xdr:rowOff>133350</xdr:rowOff>
    </xdr:to>
    <xdr:grpSp>
      <xdr:nvGrpSpPr>
        <xdr:cNvPr id="3" name="Group 8"/>
        <xdr:cNvGrpSpPr>
          <a:grpSpLocks/>
        </xdr:cNvGrpSpPr>
      </xdr:nvGrpSpPr>
      <xdr:grpSpPr>
        <a:xfrm>
          <a:off x="571500" y="3495675"/>
          <a:ext cx="238125" cy="95250"/>
          <a:chOff x="951" y="5507"/>
          <a:chExt cx="400" cy="157"/>
        </a:xfrm>
        <a:solidFill>
          <a:srgbClr val="FFFFFF"/>
        </a:solidFill>
      </xdr:grpSpPr>
      <xdr:sp>
        <xdr:nvSpPr>
          <xdr:cNvPr id="4" name="Oval 9"/>
          <xdr:cNvSpPr>
            <a:spLocks/>
          </xdr:cNvSpPr>
        </xdr:nvSpPr>
        <xdr:spPr>
          <a:xfrm>
            <a:off x="1047" y="5507"/>
            <a:ext cx="162" cy="156"/>
          </a:xfrm>
          <a:prstGeom prst="ellipse">
            <a:avLst/>
          </a:prstGeom>
          <a:solidFill>
            <a:srgbClr val="FF6600"/>
          </a:solidFill>
          <a:ln w="9360" cmpd="sng">
            <a:solidFill>
              <a:srgbClr val="2E343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0"/>
          <xdr:cNvSpPr>
            <a:spLocks/>
          </xdr:cNvSpPr>
        </xdr:nvSpPr>
        <xdr:spPr>
          <a:xfrm>
            <a:off x="951" y="5594"/>
            <a:ext cx="400" cy="0"/>
          </a:xfrm>
          <a:prstGeom prst="line">
            <a:avLst/>
          </a:prstGeom>
          <a:noFill/>
          <a:ln w="936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22</xdr:row>
      <xdr:rowOff>47625</xdr:rowOff>
    </xdr:from>
    <xdr:to>
      <xdr:col>1</xdr:col>
      <xdr:colOff>295275</xdr:colOff>
      <xdr:row>22</xdr:row>
      <xdr:rowOff>114300</xdr:rowOff>
    </xdr:to>
    <xdr:grpSp>
      <xdr:nvGrpSpPr>
        <xdr:cNvPr id="6" name="Group 11"/>
        <xdr:cNvGrpSpPr>
          <a:grpSpLocks/>
        </xdr:cNvGrpSpPr>
      </xdr:nvGrpSpPr>
      <xdr:grpSpPr>
        <a:xfrm>
          <a:off x="571500" y="3676650"/>
          <a:ext cx="238125" cy="66675"/>
          <a:chOff x="951" y="5791"/>
          <a:chExt cx="400" cy="97"/>
        </a:xfrm>
        <a:solidFill>
          <a:srgbClr val="FFFFFF"/>
        </a:solidFill>
      </xdr:grpSpPr>
      <xdr:sp>
        <xdr:nvSpPr>
          <xdr:cNvPr id="7" name="Oval 12"/>
          <xdr:cNvSpPr>
            <a:spLocks/>
          </xdr:cNvSpPr>
        </xdr:nvSpPr>
        <xdr:spPr>
          <a:xfrm>
            <a:off x="1091" y="5791"/>
            <a:ext cx="102" cy="96"/>
          </a:xfrm>
          <a:prstGeom prst="ellipse">
            <a:avLst/>
          </a:prstGeom>
          <a:solidFill>
            <a:srgbClr val="808080"/>
          </a:solidFill>
          <a:ln w="9360" cmpd="sng">
            <a:solidFill>
              <a:srgbClr val="2E343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3"/>
          <xdr:cNvSpPr>
            <a:spLocks/>
          </xdr:cNvSpPr>
        </xdr:nvSpPr>
        <xdr:spPr>
          <a:xfrm>
            <a:off x="951" y="5844"/>
            <a:ext cx="400" cy="0"/>
          </a:xfrm>
          <a:prstGeom prst="line">
            <a:avLst/>
          </a:prstGeom>
          <a:noFill/>
          <a:ln w="936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ping.keith@gmail.com" TargetMode="External" /><Relationship Id="rId2" Type="http://schemas.openxmlformats.org/officeDocument/2006/relationships/hyperlink" Target="http://k58.uk/" TargetMode="External" /><Relationship Id="rId3" Type="http://schemas.openxmlformats.org/officeDocument/2006/relationships/comments" Target="../comments9.xml" /><Relationship Id="rId4" Type="http://schemas.openxmlformats.org/officeDocument/2006/relationships/vmlDrawing" Target="../drawings/vmlDrawing9.vm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D20" sqref="D20"/>
    </sheetView>
  </sheetViews>
  <sheetFormatPr defaultColWidth="11.421875" defaultRowHeight="12.75" customHeight="1"/>
  <cols>
    <col min="1" max="1" width="20.140625" style="0" customWidth="1"/>
    <col min="2" max="2" width="9.57421875" style="0" customWidth="1"/>
    <col min="3" max="3" width="9.00390625" style="0" customWidth="1"/>
    <col min="4" max="4" width="28.421875" style="0" customWidth="1"/>
    <col min="5" max="5" width="11.8515625" style="0" customWidth="1"/>
    <col min="6" max="64" width="9.00390625" style="0" customWidth="1"/>
  </cols>
  <sheetData>
    <row r="1" ht="18" customHeight="1">
      <c r="A1" s="1" t="s">
        <v>0</v>
      </c>
    </row>
    <row r="4" spans="1:4" ht="12.75" customHeight="1">
      <c r="A4" s="2" t="s">
        <v>1</v>
      </c>
      <c r="D4" s="2" t="s">
        <v>2</v>
      </c>
    </row>
    <row r="5" spans="1:5" ht="12.75" customHeight="1">
      <c r="A5" s="3" t="s">
        <v>3</v>
      </c>
      <c r="B5" s="4">
        <f>-(87+40/60)</f>
        <v>-87.66666666666667</v>
      </c>
      <c r="D5" s="3" t="s">
        <v>4</v>
      </c>
      <c r="E5" s="5">
        <f>367*B11-INT(7*(B11+INT((B12+9)/12))/4)+INT(275*B12/9)+B13+(B14+B15/60)/24-730531.5+(-B7+B8)/24</f>
        <v>7305.231249999953</v>
      </c>
    </row>
    <row r="6" spans="1:5" ht="12.75" customHeight="1">
      <c r="A6" s="3" t="s">
        <v>5</v>
      </c>
      <c r="B6" s="4">
        <f>(41+29/60)</f>
        <v>41.483333333333334</v>
      </c>
      <c r="D6" s="3" t="s">
        <v>6</v>
      </c>
      <c r="E6" s="5">
        <f>E5/36525</f>
        <v>0.20000633127994397</v>
      </c>
    </row>
    <row r="7" spans="1:5" ht="12.75" customHeight="1">
      <c r="A7" s="3" t="s">
        <v>7</v>
      </c>
      <c r="B7" s="6">
        <v>0</v>
      </c>
      <c r="D7" s="3" t="s">
        <v>8</v>
      </c>
      <c r="E7" s="5">
        <f>MOD(280.46061837+360.98564736629*E5+B5,360)</f>
        <v>276.42589338868856</v>
      </c>
    </row>
    <row r="8" spans="1:5" ht="12.75" customHeight="1">
      <c r="A8" s="3" t="s">
        <v>9</v>
      </c>
      <c r="B8" s="6">
        <v>0</v>
      </c>
      <c r="D8" s="3"/>
      <c r="E8" s="4"/>
    </row>
    <row r="9" spans="1:5" ht="12.75" customHeight="1">
      <c r="A9" s="3"/>
      <c r="B9" s="6"/>
      <c r="D9" s="3"/>
      <c r="E9" s="4"/>
    </row>
    <row r="10" spans="1:2" ht="12.75" customHeight="1">
      <c r="A10" s="7" t="s">
        <v>10</v>
      </c>
      <c r="B10" s="4"/>
    </row>
    <row r="11" spans="1:2" ht="12.75" customHeight="1">
      <c r="A11" s="3" t="s">
        <v>11</v>
      </c>
      <c r="B11" s="8">
        <v>2020</v>
      </c>
    </row>
    <row r="12" spans="1:2" ht="12.75" customHeight="1">
      <c r="A12" s="3" t="s">
        <v>12</v>
      </c>
      <c r="B12" s="9">
        <v>1</v>
      </c>
    </row>
    <row r="13" spans="1:2" ht="12.75" customHeight="1">
      <c r="A13" s="3" t="s">
        <v>13</v>
      </c>
      <c r="B13" s="9">
        <v>1</v>
      </c>
    </row>
    <row r="14" spans="1:2" ht="12.75" customHeight="1">
      <c r="A14" s="3" t="s">
        <v>14</v>
      </c>
      <c r="B14" s="9">
        <v>17</v>
      </c>
    </row>
    <row r="15" spans="1:2" ht="12.75" customHeight="1">
      <c r="A15" s="3" t="s">
        <v>15</v>
      </c>
      <c r="B15" s="9">
        <v>33</v>
      </c>
    </row>
    <row r="16" spans="1:2" ht="12.75" customHeight="1">
      <c r="A16" s="3"/>
      <c r="B16" s="4"/>
    </row>
    <row r="21" spans="1:2" ht="12.75" customHeight="1">
      <c r="A21" s="3"/>
      <c r="B21" s="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3"/>
  <sheetViews>
    <sheetView workbookViewId="0" topLeftCell="A9">
      <selection activeCell="C38" sqref="C38"/>
    </sheetView>
  </sheetViews>
  <sheetFormatPr defaultColWidth="11.421875" defaultRowHeight="12.75" customHeight="1"/>
  <cols>
    <col min="1" max="1" width="31.140625" style="0" customWidth="1"/>
    <col min="3" max="3" width="14.57421875" style="0" customWidth="1"/>
    <col min="4" max="4" width="12.421875" style="0" customWidth="1"/>
    <col min="5" max="5" width="29.8515625" style="0" customWidth="1"/>
    <col min="6" max="6" width="8.421875" style="0" customWidth="1"/>
    <col min="7" max="7" width="6.140625" style="0" customWidth="1"/>
    <col min="8" max="8" width="7.00390625" style="0" customWidth="1"/>
    <col min="9" max="64" width="9.00390625" style="0" customWidth="1"/>
  </cols>
  <sheetData>
    <row r="1" ht="18" customHeight="1">
      <c r="A1" s="1" t="s">
        <v>238</v>
      </c>
    </row>
    <row r="2" ht="12.75" customHeight="1">
      <c r="A2" s="86" t="s">
        <v>239</v>
      </c>
    </row>
    <row r="3" spans="1:10" ht="12.75" customHeight="1">
      <c r="A3" s="14"/>
      <c r="G3" s="3"/>
      <c r="J3" s="3"/>
    </row>
    <row r="4" spans="1:5" ht="12.75" customHeight="1">
      <c r="A4" s="2" t="s">
        <v>1</v>
      </c>
      <c r="E4" s="2" t="s">
        <v>240</v>
      </c>
    </row>
    <row r="5" spans="1:13" ht="12.75" customHeight="1">
      <c r="A5" s="87" t="s">
        <v>3</v>
      </c>
      <c r="B5" s="4">
        <v>-1.9167</v>
      </c>
      <c r="E5" s="19" t="s">
        <v>241</v>
      </c>
      <c r="F5" s="17" t="s">
        <v>182</v>
      </c>
      <c r="G5" s="17" t="s">
        <v>183</v>
      </c>
      <c r="H5" s="88" t="s">
        <v>242</v>
      </c>
      <c r="M5" t="s">
        <v>243</v>
      </c>
    </row>
    <row r="6" spans="1:13" ht="12.75" customHeight="1">
      <c r="A6" s="87" t="s">
        <v>5</v>
      </c>
      <c r="B6" s="4">
        <v>52.5</v>
      </c>
      <c r="E6" s="3" t="s">
        <v>244</v>
      </c>
      <c r="F6" s="89">
        <v>51.6</v>
      </c>
      <c r="G6" s="89">
        <v>-9.4</v>
      </c>
      <c r="H6" s="90">
        <f>DEGREES(ATAN(M23/SQRT(1-M23*M23)))</f>
        <v>-15.348789259486013</v>
      </c>
      <c r="M6">
        <f aca="true" t="shared" si="0" ref="M6:M22">SIN($C$107)*SIN(RADIANS(F7))+COS($C$107)*COS(RADIANS(F7))*SIN(RADIANS($B$19+G7))</f>
        <v>-0.19797137267045165</v>
      </c>
    </row>
    <row r="7" spans="1:13" ht="12.75" customHeight="1">
      <c r="A7" s="65" t="s">
        <v>7</v>
      </c>
      <c r="B7" s="91">
        <v>0</v>
      </c>
      <c r="E7" s="3" t="s">
        <v>245</v>
      </c>
      <c r="F7" s="89">
        <v>-11.2</v>
      </c>
      <c r="G7" s="89">
        <v>4.1</v>
      </c>
      <c r="H7" s="90">
        <f aca="true" t="shared" si="1" ref="H7:H23">DEGREES(ATAN(M6/SQRT(1-M6*M6)))</f>
        <v>-11.418355437606934</v>
      </c>
      <c r="M7">
        <f t="shared" si="0"/>
        <v>-0.3153487124738859</v>
      </c>
    </row>
    <row r="8" spans="1:13" ht="12.75" customHeight="1">
      <c r="A8" s="65" t="s">
        <v>9</v>
      </c>
      <c r="B8" s="91">
        <v>0</v>
      </c>
      <c r="E8" s="3" t="s">
        <v>246</v>
      </c>
      <c r="F8" s="89">
        <v>-13.7</v>
      </c>
      <c r="G8" s="89">
        <v>-3.2</v>
      </c>
      <c r="H8" s="90">
        <f t="shared" si="1"/>
        <v>-18.38186652511573</v>
      </c>
      <c r="M8">
        <f t="shared" si="0"/>
        <v>-0.2940015737356321</v>
      </c>
    </row>
    <row r="9" spans="5:13" ht="12.75" customHeight="1">
      <c r="E9" s="3" t="s">
        <v>247</v>
      </c>
      <c r="F9" s="89">
        <v>29.7</v>
      </c>
      <c r="G9" s="89">
        <v>-4</v>
      </c>
      <c r="H9" s="90">
        <f t="shared" si="1"/>
        <v>-17.09767702491153</v>
      </c>
      <c r="M9">
        <f t="shared" si="0"/>
        <v>-0.28781163240233554</v>
      </c>
    </row>
    <row r="10" spans="1:13" ht="12.75" customHeight="1">
      <c r="A10" s="2" t="s">
        <v>10</v>
      </c>
      <c r="E10" s="3" t="s">
        <v>248</v>
      </c>
      <c r="F10" s="89">
        <v>-18.2</v>
      </c>
      <c r="G10" s="89">
        <v>-1.9</v>
      </c>
      <c r="H10" s="90">
        <f t="shared" si="1"/>
        <v>-16.726986913318974</v>
      </c>
      <c r="M10">
        <f t="shared" si="0"/>
        <v>0.5657126828544051</v>
      </c>
    </row>
    <row r="11" spans="1:13" ht="12.75" customHeight="1">
      <c r="A11" s="87" t="s">
        <v>11</v>
      </c>
      <c r="B11" s="55">
        <v>2020</v>
      </c>
      <c r="E11" s="3" t="s">
        <v>249</v>
      </c>
      <c r="F11" s="89">
        <v>27.7</v>
      </c>
      <c r="G11" s="89">
        <v>55.5</v>
      </c>
      <c r="H11" s="90">
        <f t="shared" si="1"/>
        <v>34.45179592516235</v>
      </c>
      <c r="M11">
        <f t="shared" si="0"/>
        <v>-0.5913384880930033</v>
      </c>
    </row>
    <row r="12" spans="1:13" ht="12.75" customHeight="1">
      <c r="A12" s="87" t="s">
        <v>12</v>
      </c>
      <c r="B12" s="91">
        <v>1</v>
      </c>
      <c r="E12" s="3" t="s">
        <v>250</v>
      </c>
      <c r="F12" s="89">
        <v>9.7</v>
      </c>
      <c r="G12" s="89">
        <v>-21.1</v>
      </c>
      <c r="H12" s="90">
        <f t="shared" si="1"/>
        <v>-36.25204901419689</v>
      </c>
      <c r="M12">
        <f t="shared" si="0"/>
        <v>0.13984632380090728</v>
      </c>
    </row>
    <row r="13" spans="1:13" ht="12.75" customHeight="1">
      <c r="A13" s="87" t="s">
        <v>13</v>
      </c>
      <c r="B13" s="91">
        <v>1</v>
      </c>
      <c r="E13" s="3" t="s">
        <v>251</v>
      </c>
      <c r="F13" s="89">
        <v>-13.2</v>
      </c>
      <c r="G13" s="89">
        <v>24</v>
      </c>
      <c r="H13" s="90">
        <f t="shared" si="1"/>
        <v>8.038953768722578</v>
      </c>
      <c r="M13">
        <f t="shared" si="0"/>
        <v>-0.30113355999904656</v>
      </c>
    </row>
    <row r="14" spans="1:13" ht="12.75" customHeight="1">
      <c r="A14" s="87" t="s">
        <v>14</v>
      </c>
      <c r="B14" s="91">
        <v>17</v>
      </c>
      <c r="D14" s="45"/>
      <c r="E14" s="3" t="s">
        <v>252</v>
      </c>
      <c r="F14" s="89">
        <v>-32.5</v>
      </c>
      <c r="G14" s="89">
        <v>-5.2</v>
      </c>
      <c r="H14" s="90">
        <f t="shared" si="1"/>
        <v>-17.525700083272866</v>
      </c>
      <c r="M14">
        <f t="shared" si="0"/>
        <v>0.38663454216830895</v>
      </c>
    </row>
    <row r="15" spans="1:13" ht="12.75" customHeight="1">
      <c r="A15" s="87" t="s">
        <v>15</v>
      </c>
      <c r="B15" s="91">
        <v>23</v>
      </c>
      <c r="E15" s="3" t="s">
        <v>253</v>
      </c>
      <c r="F15" s="89">
        <v>53.6</v>
      </c>
      <c r="G15" s="89">
        <v>56.5</v>
      </c>
      <c r="H15" s="90">
        <f t="shared" si="1"/>
        <v>22.745252187878183</v>
      </c>
      <c r="M15">
        <f t="shared" si="0"/>
        <v>-0.4405481332154333</v>
      </c>
    </row>
    <row r="16" spans="5:13" ht="12.75" customHeight="1">
      <c r="E16" s="3" t="s">
        <v>254</v>
      </c>
      <c r="F16" s="89">
        <v>14.5</v>
      </c>
      <c r="G16" s="89">
        <v>-11.3</v>
      </c>
      <c r="H16" s="90">
        <f t="shared" si="1"/>
        <v>-26.13885941967373</v>
      </c>
      <c r="M16">
        <f t="shared" si="0"/>
        <v>0.006222582717322412</v>
      </c>
    </row>
    <row r="17" spans="1:13" ht="12.75" customHeight="1">
      <c r="A17" s="36" t="s">
        <v>255</v>
      </c>
      <c r="E17" s="3" t="s">
        <v>256</v>
      </c>
      <c r="F17" s="89">
        <v>44.3</v>
      </c>
      <c r="G17" s="89">
        <v>16.3</v>
      </c>
      <c r="H17" s="90">
        <f t="shared" si="1"/>
        <v>0.3565300282378104</v>
      </c>
      <c r="M17">
        <f t="shared" si="0"/>
        <v>0.32455092591091167</v>
      </c>
    </row>
    <row r="18" spans="2:13" ht="12.75" customHeight="1">
      <c r="B18" s="92" t="s">
        <v>257</v>
      </c>
      <c r="C18" s="92" t="s">
        <v>258</v>
      </c>
      <c r="E18" s="3" t="s">
        <v>259</v>
      </c>
      <c r="F18" s="89">
        <v>-42.9</v>
      </c>
      <c r="G18" s="89">
        <v>42</v>
      </c>
      <c r="H18" s="90">
        <f t="shared" si="1"/>
        <v>18.938370198095864</v>
      </c>
      <c r="M18">
        <f t="shared" si="0"/>
        <v>-0.022227362961525644</v>
      </c>
    </row>
    <row r="19" spans="1:13" ht="12.75" customHeight="1">
      <c r="A19" s="35" t="s">
        <v>260</v>
      </c>
      <c r="B19" s="93">
        <f>IF(B105&lt;90,90-B105,450-B105)</f>
        <v>344.2468083828722</v>
      </c>
      <c r="C19" s="94"/>
      <c r="E19" s="3" t="s">
        <v>261</v>
      </c>
      <c r="F19" s="89">
        <v>-41.8</v>
      </c>
      <c r="G19" s="89">
        <v>14</v>
      </c>
      <c r="H19" s="90">
        <f t="shared" si="1"/>
        <v>-1.273638976843627</v>
      </c>
      <c r="M19">
        <f t="shared" si="0"/>
        <v>0.5273884991846599</v>
      </c>
    </row>
    <row r="20" spans="1:13" ht="12.75" customHeight="1">
      <c r="A20" s="35" t="s">
        <v>262</v>
      </c>
      <c r="B20" s="95">
        <f>B97</f>
        <v>6.655653645189464</v>
      </c>
      <c r="C20" s="95">
        <f>B20+B139</f>
        <v>7.3614154872027715</v>
      </c>
      <c r="E20" s="3" t="s">
        <v>263</v>
      </c>
      <c r="F20" s="89">
        <v>-1.9</v>
      </c>
      <c r="G20" s="89">
        <v>47.6</v>
      </c>
      <c r="H20" s="90">
        <f t="shared" si="1"/>
        <v>31.829175460270704</v>
      </c>
      <c r="M20">
        <f t="shared" si="0"/>
        <v>-0.302401293260852</v>
      </c>
    </row>
    <row r="21" spans="1:13" ht="12.75" customHeight="1">
      <c r="A21" s="35" t="s">
        <v>264</v>
      </c>
      <c r="B21" s="95">
        <f>B95</f>
        <v>-0.12956866747111917</v>
      </c>
      <c r="C21" s="95">
        <f>B21+B138</f>
        <v>-0.46984605611199315</v>
      </c>
      <c r="E21" s="3" t="s">
        <v>265</v>
      </c>
      <c r="F21" s="89">
        <v>20</v>
      </c>
      <c r="G21" s="89">
        <v>-3</v>
      </c>
      <c r="H21" s="90">
        <f t="shared" si="1"/>
        <v>-17.601887597912206</v>
      </c>
      <c r="M21">
        <f t="shared" si="0"/>
        <v>-0.10538920132846724</v>
      </c>
    </row>
    <row r="22" spans="1:13" ht="12.75" customHeight="1">
      <c r="A22" s="35" t="s">
        <v>266</v>
      </c>
      <c r="B22" s="95">
        <f>B105</f>
        <v>105.75319161712781</v>
      </c>
      <c r="C22" s="95"/>
      <c r="E22" s="3" t="s">
        <v>267</v>
      </c>
      <c r="F22" s="89">
        <v>39</v>
      </c>
      <c r="G22" s="89">
        <v>8</v>
      </c>
      <c r="H22" s="90">
        <f t="shared" si="1"/>
        <v>-6.04959056990179</v>
      </c>
      <c r="M22">
        <f t="shared" si="0"/>
        <v>-0.4236182940452466</v>
      </c>
    </row>
    <row r="23" spans="1:13" ht="12.75" customHeight="1">
      <c r="A23" s="35" t="s">
        <v>268</v>
      </c>
      <c r="B23" s="95">
        <f>B107</f>
        <v>-0.04984566540244424</v>
      </c>
      <c r="C23" s="95"/>
      <c r="E23" s="3" t="s">
        <v>269</v>
      </c>
      <c r="F23" s="89">
        <v>-29.8</v>
      </c>
      <c r="G23" s="89">
        <v>-13.5</v>
      </c>
      <c r="H23" s="90">
        <f t="shared" si="1"/>
        <v>-25.063237225981354</v>
      </c>
      <c r="M23">
        <f>SIN($C$107)*SIN(RADIANS(F6))+COS($C$107)*COS(RADIANS(F6))*SIN(RADIANS($B$19+G6))</f>
        <v>-0.26469430687991763</v>
      </c>
    </row>
    <row r="24" spans="1:13" ht="12.75" customHeight="1">
      <c r="A24" s="35" t="s">
        <v>270</v>
      </c>
      <c r="B24" s="95">
        <f>IF(AND(B19&gt;90,B19&lt;270),180-B19,(IF(B19&lt;90,0-B19,360-B19)))</f>
        <v>15.753191617127811</v>
      </c>
      <c r="C24" s="95"/>
      <c r="E24" s="3" t="s">
        <v>271</v>
      </c>
      <c r="F24" s="89">
        <v>-9.2</v>
      </c>
      <c r="G24" s="89">
        <v>-1.8</v>
      </c>
      <c r="H24" s="90">
        <f aca="true" t="shared" si="2" ref="H24:H28">DEGREES(ATAN(M24/SQRT(1-M24*M24)))</f>
        <v>-17.311846752156555</v>
      </c>
      <c r="M24">
        <f aca="true" t="shared" si="3" ref="M24:M28">SIN($C$107)*SIN(RADIANS(F24))+COS($C$107)*COS(RADIANS(F24))*SIN(RADIANS($B$19+G24))</f>
        <v>-0.29757227867490266</v>
      </c>
    </row>
    <row r="25" spans="1:13" ht="12.75" customHeight="1">
      <c r="A25" s="35" t="s">
        <v>272</v>
      </c>
      <c r="B25" s="96">
        <f>IF(OR(B19&lt;90,B19&gt;270),"sunrise","sunset")</f>
        <v>0</v>
      </c>
      <c r="C25" s="94"/>
      <c r="E25" s="3" t="s">
        <v>273</v>
      </c>
      <c r="F25" s="89">
        <v>-22</v>
      </c>
      <c r="G25" s="89">
        <v>-7</v>
      </c>
      <c r="H25" s="90">
        <f t="shared" si="2"/>
        <v>-20.99421930787819</v>
      </c>
      <c r="M25">
        <f t="shared" si="3"/>
        <v>-0.35827375682189144</v>
      </c>
    </row>
    <row r="26" spans="1:13" ht="12.75" customHeight="1">
      <c r="A26" s="35" t="s">
        <v>274</v>
      </c>
      <c r="B26" s="94">
        <f>B116</f>
        <v>0.3640378939791007</v>
      </c>
      <c r="C26" s="94"/>
      <c r="E26" s="3" t="s">
        <v>275</v>
      </c>
      <c r="F26" s="89">
        <v>-11.4</v>
      </c>
      <c r="G26" s="89">
        <v>26.4</v>
      </c>
      <c r="H26" s="90">
        <f t="shared" si="2"/>
        <v>10.444395585692217</v>
      </c>
      <c r="M26">
        <f t="shared" si="3"/>
        <v>0.1812812104951566</v>
      </c>
    </row>
    <row r="27" spans="1:13" ht="12.75" customHeight="1">
      <c r="A27" s="35" t="s">
        <v>276</v>
      </c>
      <c r="B27" s="97">
        <f>B120</f>
        <v>247.96849831097495</v>
      </c>
      <c r="C27" s="94"/>
      <c r="E27" s="3" t="s">
        <v>277</v>
      </c>
      <c r="F27" s="89">
        <v>-43.4</v>
      </c>
      <c r="G27" s="89">
        <v>-11.1</v>
      </c>
      <c r="H27" s="90">
        <f t="shared" si="2"/>
        <v>-19.123185872645237</v>
      </c>
      <c r="M27">
        <f t="shared" si="3"/>
        <v>-0.3276002644803799</v>
      </c>
    </row>
    <row r="28" spans="1:13" ht="12.75" customHeight="1">
      <c r="A28" s="35" t="s">
        <v>278</v>
      </c>
      <c r="B28" s="97">
        <f>B122</f>
        <v>1.7195356993004194</v>
      </c>
      <c r="C28" s="94"/>
      <c r="E28" s="3" t="s">
        <v>279</v>
      </c>
      <c r="F28" s="89">
        <v>-28</v>
      </c>
      <c r="G28" s="89">
        <v>3.3</v>
      </c>
      <c r="H28" s="90">
        <f t="shared" si="2"/>
        <v>-10.95231960771425</v>
      </c>
      <c r="M28">
        <f t="shared" si="3"/>
        <v>-0.18999203905439957</v>
      </c>
    </row>
    <row r="29" spans="1:8" ht="12.75" customHeight="1">
      <c r="A29" s="35" t="s">
        <v>280</v>
      </c>
      <c r="B29" s="97">
        <f>B130</f>
        <v>-23.869880981251587</v>
      </c>
      <c r="C29" s="94"/>
      <c r="F29" s="89"/>
      <c r="G29" s="89"/>
      <c r="H29" s="98"/>
    </row>
    <row r="30" spans="1:8" ht="12.75" customHeight="1">
      <c r="A30" s="35" t="s">
        <v>43</v>
      </c>
      <c r="B30" s="94">
        <f>B85/15</f>
        <v>23.815904127105753</v>
      </c>
      <c r="C30" s="94"/>
      <c r="E30" s="3"/>
      <c r="F30" s="89"/>
      <c r="G30" s="89"/>
      <c r="H30" s="98"/>
    </row>
    <row r="31" spans="1:8" ht="12.75" customHeight="1">
      <c r="A31" s="35" t="s">
        <v>44</v>
      </c>
      <c r="B31" s="94">
        <f>B86</f>
        <v>-6.815900472907007</v>
      </c>
      <c r="C31" s="94"/>
      <c r="E31" s="3"/>
      <c r="F31" s="89"/>
      <c r="G31" s="89"/>
      <c r="H31" s="98"/>
    </row>
    <row r="32" spans="1:8" ht="12.75" customHeight="1">
      <c r="A32" s="35" t="s">
        <v>242</v>
      </c>
      <c r="B32" s="28"/>
      <c r="C32" s="28"/>
      <c r="E32" s="3"/>
      <c r="F32" s="89"/>
      <c r="G32" s="89"/>
      <c r="H32" s="98"/>
    </row>
    <row r="33" spans="1:8" ht="12.75" customHeight="1">
      <c r="A33" s="35" t="s">
        <v>30</v>
      </c>
      <c r="B33" s="28"/>
      <c r="C33" s="28"/>
      <c r="E33" s="3"/>
      <c r="F33" s="89"/>
      <c r="G33" s="89"/>
      <c r="H33" s="98"/>
    </row>
    <row r="34" spans="1:8" ht="12.75" customHeight="1">
      <c r="A34" s="35"/>
      <c r="B34" s="94"/>
      <c r="C34" s="94"/>
      <c r="E34" s="3"/>
      <c r="F34" s="89"/>
      <c r="G34" s="89"/>
      <c r="H34" s="98"/>
    </row>
    <row r="35" spans="5:8" ht="12.75" customHeight="1">
      <c r="E35" s="3"/>
      <c r="F35" s="89"/>
      <c r="G35" s="89"/>
      <c r="H35" s="98"/>
    </row>
    <row r="36" spans="5:8" ht="12.75" customHeight="1">
      <c r="E36" s="3"/>
      <c r="F36" s="89"/>
      <c r="G36" s="89"/>
      <c r="H36" s="98"/>
    </row>
    <row r="37" spans="5:8" ht="12.75" customHeight="1">
      <c r="E37" s="3"/>
      <c r="F37" s="89"/>
      <c r="G37" s="89"/>
      <c r="H37" s="98"/>
    </row>
    <row r="38" spans="5:8" ht="12.75" customHeight="1">
      <c r="E38" s="3"/>
      <c r="F38" s="89"/>
      <c r="G38" s="89"/>
      <c r="H38" s="98"/>
    </row>
    <row r="39" spans="5:8" ht="12.75" customHeight="1">
      <c r="E39" s="3"/>
      <c r="F39" s="89"/>
      <c r="G39" s="89"/>
      <c r="H39" s="98"/>
    </row>
    <row r="40" ht="12.75" customHeight="1">
      <c r="E40" s="3"/>
    </row>
    <row r="41" spans="5:7" ht="12.75" customHeight="1">
      <c r="E41" s="3"/>
      <c r="F41" s="12"/>
      <c r="G41" s="6"/>
    </row>
    <row r="42" spans="5:7" ht="12.75" customHeight="1">
      <c r="E42" s="3"/>
      <c r="F42" s="12"/>
      <c r="G42" s="6"/>
    </row>
    <row r="43" spans="5:7" ht="12.75" customHeight="1">
      <c r="E43" s="3"/>
      <c r="F43" s="12"/>
      <c r="G43" s="6"/>
    </row>
    <row r="44" spans="4:7" ht="12.75" customHeight="1">
      <c r="D44" s="47"/>
      <c r="E44" s="3"/>
      <c r="F44" s="12"/>
      <c r="G44" s="6"/>
    </row>
    <row r="45" spans="5:7" ht="12.75" customHeight="1">
      <c r="E45" s="3"/>
      <c r="F45" s="12"/>
      <c r="G45" s="6"/>
    </row>
    <row r="46" spans="4:7" ht="12.75" customHeight="1">
      <c r="D46" s="42"/>
      <c r="E46" s="3"/>
      <c r="F46" s="12"/>
      <c r="G46" s="6"/>
    </row>
    <row r="47" spans="5:7" ht="12.75" customHeight="1">
      <c r="E47" s="3"/>
      <c r="F47" s="12"/>
      <c r="G47" s="6"/>
    </row>
    <row r="48" spans="5:7" ht="12.75" customHeight="1">
      <c r="E48" s="3"/>
      <c r="F48" s="12"/>
      <c r="G48" s="6"/>
    </row>
    <row r="49" spans="5:7" ht="12.75" customHeight="1">
      <c r="E49" s="3"/>
      <c r="F49" s="12"/>
      <c r="G49" s="6"/>
    </row>
    <row r="50" spans="1:7" ht="12.75" customHeight="1">
      <c r="A50" s="3" t="s">
        <v>183</v>
      </c>
      <c r="C50" s="41">
        <f aca="true" t="shared" si="4" ref="C50:C51">RADIANS(B5)</f>
        <v>-0.03345272577297532</v>
      </c>
      <c r="E50" s="3"/>
      <c r="F50" s="12"/>
      <c r="G50" s="6"/>
    </row>
    <row r="51" spans="1:7" ht="12.75" customHeight="1">
      <c r="A51" s="3" t="s">
        <v>182</v>
      </c>
      <c r="C51" s="41">
        <f t="shared" si="4"/>
        <v>0.9162978572970231</v>
      </c>
      <c r="E51" s="3"/>
      <c r="F51" s="12"/>
      <c r="G51" s="6"/>
    </row>
    <row r="52" spans="1:7" ht="12.75" customHeight="1">
      <c r="A52" s="2" t="s">
        <v>0</v>
      </c>
      <c r="G52" s="12"/>
    </row>
    <row r="53" spans="1:3" ht="12.75" customHeight="1">
      <c r="A53" s="99" t="s">
        <v>281</v>
      </c>
      <c r="B53" s="100">
        <f>367*B11-INT(7*(B11+INT((B12+9)/12))/4)+INT(275*B12/9)+B13+(B14+B15/60)/24-730531.5+(-B7+B8)/24</f>
        <v>7305.224305555574</v>
      </c>
      <c r="C53" s="5">
        <f>B53+2451545</f>
        <v>2458850.2243055557</v>
      </c>
    </row>
    <row r="54" spans="1:3" ht="12.75" customHeight="1">
      <c r="A54" s="99" t="s">
        <v>282</v>
      </c>
      <c r="B54" s="101">
        <f>MOD(280.46061837+360.98564736629*B53+B5,360)</f>
        <v>359.6690153051168</v>
      </c>
      <c r="C54">
        <f>RADIANS(B54)</f>
        <v>6.277408534480165</v>
      </c>
    </row>
    <row r="55" spans="1:4" ht="12.75" customHeight="1">
      <c r="A55" s="3" t="s">
        <v>283</v>
      </c>
      <c r="B55" s="4">
        <f>B53/36525</f>
        <v>0.20000614115141885</v>
      </c>
      <c r="C55">
        <f>B55*B55</f>
        <v>0.04000245649828128</v>
      </c>
      <c r="D55">
        <f>B55*C55</f>
        <v>0.008000736960798739</v>
      </c>
    </row>
    <row r="57" spans="1:3" ht="12.75" customHeight="1">
      <c r="A57" s="2" t="s">
        <v>284</v>
      </c>
      <c r="B57" s="10" t="s">
        <v>118</v>
      </c>
      <c r="C57" s="10" t="s">
        <v>76</v>
      </c>
    </row>
    <row r="58" spans="1:3" ht="12.75" customHeight="1">
      <c r="A58" s="3" t="s">
        <v>135</v>
      </c>
      <c r="B58" s="5">
        <f>MOD(280.466+36000.8*$B$55,360)</f>
        <v>280.84708636400046</v>
      </c>
      <c r="C58" s="4">
        <f aca="true" t="shared" si="5" ref="C58:C61">RADIANS(B58)</f>
        <v>4.901706351684678</v>
      </c>
    </row>
    <row r="59" spans="1:3" ht="12.75" customHeight="1">
      <c r="A59" s="3" t="s">
        <v>285</v>
      </c>
      <c r="B59" s="5">
        <f>MOD(357.529+35999*$B$55-0.0001536*$C$55+$D$55/24490000,360)</f>
        <v>357.5500691658772</v>
      </c>
      <c r="C59" s="4">
        <f t="shared" si="5"/>
        <v>6.240425947678012</v>
      </c>
    </row>
    <row r="60" spans="1:3" ht="12.75" customHeight="1">
      <c r="A60" s="3" t="s">
        <v>286</v>
      </c>
      <c r="B60" s="5">
        <f>(1.915-0.004817*$B$55-0.000014*$C$55)*SIN(C59)+(0.01999-0.000101*$B$55)*SIN(2*C59)+0.00029*SIN(3*C59)</f>
        <v>-0.08356082586092889</v>
      </c>
      <c r="C60" s="4">
        <f t="shared" si="5"/>
        <v>-0.0014584115369588343</v>
      </c>
    </row>
    <row r="61" spans="1:3" ht="12.75" customHeight="1">
      <c r="A61" s="3" t="s">
        <v>287</v>
      </c>
      <c r="B61" s="5">
        <f>B59+B60</f>
        <v>357.4665083400162</v>
      </c>
      <c r="C61" s="4">
        <f t="shared" si="5"/>
        <v>6.238967536141053</v>
      </c>
    </row>
    <row r="62" spans="1:4" ht="12.75" customHeight="1">
      <c r="A62" s="3" t="s">
        <v>288</v>
      </c>
      <c r="B62" s="5">
        <f>0.01671-0.00004204*$B$55-0.0000001236*$C$55</f>
        <v>0.016701586797522375</v>
      </c>
      <c r="C62" s="4"/>
      <c r="D62" s="5"/>
    </row>
    <row r="63" spans="1:4" ht="12.75" customHeight="1">
      <c r="A63" s="3" t="s">
        <v>289</v>
      </c>
      <c r="B63" s="5">
        <f>0.99972/(1+B62*COS(C61))*145980000/385000</f>
        <v>372.8417024464309</v>
      </c>
      <c r="C63" s="4"/>
      <c r="D63" s="46"/>
    </row>
    <row r="64" spans="1:3" ht="12.75" customHeight="1">
      <c r="A64" s="3" t="s">
        <v>290</v>
      </c>
      <c r="B64" s="5">
        <f>B58+B60</f>
        <v>280.7635255381395</v>
      </c>
      <c r="C64" s="4">
        <f aca="true" t="shared" si="6" ref="C64:C67">RADIANS(B64)</f>
        <v>4.900247940147718</v>
      </c>
    </row>
    <row r="65" spans="1:3" ht="12.75" customHeight="1">
      <c r="A65" s="3" t="s">
        <v>291</v>
      </c>
      <c r="B65" s="5">
        <f>MOD(125.04-1934.1*$B$55,360)</f>
        <v>98.20812239904086</v>
      </c>
      <c r="C65" s="4">
        <f t="shared" si="6"/>
        <v>1.7140550880648553</v>
      </c>
    </row>
    <row r="66" spans="1:3" ht="12.75" customHeight="1">
      <c r="A66" s="3" t="s">
        <v>292</v>
      </c>
      <c r="B66" s="5">
        <f>B64-0.00569-0.00478*SIN(C65)</f>
        <v>280.75310450445227</v>
      </c>
      <c r="C66" s="4">
        <f t="shared" si="6"/>
        <v>4.900066058798415</v>
      </c>
    </row>
    <row r="67" spans="1:3" ht="12.75" customHeight="1">
      <c r="A67" s="3" t="s">
        <v>293</v>
      </c>
      <c r="B67" s="5">
        <f>(84381.448-46.815*B55)/3600</f>
        <v>23.43669019791722</v>
      </c>
      <c r="C67" s="4">
        <f t="shared" si="6"/>
        <v>0.409047409723537</v>
      </c>
    </row>
    <row r="68" spans="1:5" ht="12.75" customHeight="1">
      <c r="A68" s="3" t="s">
        <v>294</v>
      </c>
      <c r="B68" s="5">
        <f>DEGREES(D68)</f>
        <v>281.7057110319879</v>
      </c>
      <c r="C68" s="4">
        <f>ATAN2(COS(C64),SIN(C64)*COS(C67)-TAN(0)*SIN(C67))</f>
        <v>-1.366493127999684</v>
      </c>
      <c r="D68" s="4">
        <f>IF(C68&lt;0,2*PI()+C68,C68)</f>
        <v>4.916692179179902</v>
      </c>
      <c r="E68">
        <f>B68/15</f>
        <v>18.78038073546586</v>
      </c>
    </row>
    <row r="69" spans="1:4" ht="12.75" customHeight="1">
      <c r="A69" s="3" t="s">
        <v>295</v>
      </c>
      <c r="B69" s="5">
        <f>DEGREES(C69)</f>
        <v>-23.000420428630672</v>
      </c>
      <c r="C69" s="4">
        <f>ASIN(SIN(0)*COS(C67)+COS(0)*SIN(C67)*SIN(C64))</f>
        <v>-0.40143306582257066</v>
      </c>
      <c r="D69" s="4"/>
    </row>
    <row r="70" spans="2:4" ht="12.75" customHeight="1">
      <c r="B70" s="4"/>
      <c r="C70" s="4"/>
      <c r="D70" s="4"/>
    </row>
    <row r="71" spans="1:4" ht="12.75" customHeight="1">
      <c r="A71" s="2" t="s">
        <v>296</v>
      </c>
      <c r="B71" s="4"/>
      <c r="C71" s="4"/>
      <c r="D71" s="4"/>
    </row>
    <row r="72" spans="1:4" ht="12.75" customHeight="1">
      <c r="A72" s="3" t="s">
        <v>297</v>
      </c>
      <c r="B72" s="4">
        <f>MOD(93.2721+483202*$B$55-0.003403*$C$55-$D$55/3526000,360)</f>
        <v>256.63938051725563</v>
      </c>
      <c r="C72" s="4">
        <f aca="true" t="shared" si="7" ref="C72:C77">RADIANS(B72)</f>
        <v>4.479202180304698</v>
      </c>
      <c r="D72" s="4"/>
    </row>
    <row r="73" spans="1:4" ht="12.75" customHeight="1">
      <c r="A73" s="3" t="s">
        <v>298</v>
      </c>
      <c r="B73" s="4">
        <f>MOD(218.316+481268*$B$55,360)</f>
        <v>354.8715396610496</v>
      </c>
      <c r="C73" s="4">
        <f t="shared" si="7"/>
        <v>6.1936767887069575</v>
      </c>
      <c r="D73" s="4"/>
    </row>
    <row r="74" spans="1:4" ht="12.75" customHeight="1">
      <c r="A74" s="3" t="s">
        <v>299</v>
      </c>
      <c r="B74" s="4">
        <f>MOD(125.045-1934.14*$B$55+0.002071*$C$55+$D$55/450000,360)</f>
        <v>98.20520501626163</v>
      </c>
      <c r="C74" s="4">
        <f t="shared" si="7"/>
        <v>1.7140041701298168</v>
      </c>
      <c r="D74" s="4"/>
    </row>
    <row r="75" spans="1:4" ht="12.75" customHeight="1">
      <c r="A75" s="3" t="s">
        <v>300</v>
      </c>
      <c r="B75" s="4">
        <f>MOD(134.963+477199*$B$55+0.008997*$C$55+$D$55/69700,360)</f>
        <v>177.6939113328117</v>
      </c>
      <c r="C75" s="4">
        <f t="shared" si="7"/>
        <v>3.1013438135044296</v>
      </c>
      <c r="D75" s="4"/>
    </row>
    <row r="76" spans="1:4" ht="12.75" customHeight="1">
      <c r="A76" s="3" t="s">
        <v>301</v>
      </c>
      <c r="B76" s="4">
        <f>MOD(297.85+445267*$B$55-0.00163*$C$55+$D$55/545900,360)</f>
        <v>73.98438687947055</v>
      </c>
      <c r="C76" s="4">
        <f t="shared" si="7"/>
        <v>1.2912711461160542</v>
      </c>
      <c r="D76" s="4"/>
    </row>
    <row r="77" spans="1:4" ht="12.75" customHeight="1">
      <c r="A77" s="3" t="s">
        <v>302</v>
      </c>
      <c r="B77" s="4">
        <f>2*B76</f>
        <v>147.9687737589411</v>
      </c>
      <c r="C77" s="4">
        <f t="shared" si="7"/>
        <v>2.5825422922321084</v>
      </c>
      <c r="D77" s="4"/>
    </row>
    <row r="78" spans="1:5" ht="12.75" customHeight="1">
      <c r="A78" s="3" t="s">
        <v>303</v>
      </c>
      <c r="B78" s="4">
        <f>1+(-20954*COS(C75)-3699*COS(C77-C75)-2956*COS(C77))/385000</f>
        <v>1.052547382773107</v>
      </c>
      <c r="C78" s="4">
        <f>B78*60.2666</f>
        <v>63.43345209863374</v>
      </c>
      <c r="D78" s="4"/>
      <c r="E78">
        <f>B78*385000</f>
        <v>405230.74236764625</v>
      </c>
    </row>
    <row r="79" spans="1:4" ht="12.75" customHeight="1">
      <c r="A79" s="3" t="s">
        <v>304</v>
      </c>
      <c r="B79" s="4">
        <f>B78/B63</f>
        <v>0.0028230409202262855</v>
      </c>
      <c r="C79" s="4"/>
      <c r="D79" s="4"/>
    </row>
    <row r="80" spans="1:4" ht="12.75" customHeight="1">
      <c r="A80" s="3" t="s">
        <v>305</v>
      </c>
      <c r="B80" s="4">
        <f>5.128*SIN(C72)+0.2806*SIN(C75+C72)+0.2777*SIN(C75-C72)+0.1732*SIN(C77-C72)</f>
        <v>-5.155667560809346</v>
      </c>
      <c r="C80" s="4">
        <f aca="true" t="shared" si="8" ref="C80:C84">RADIANS(B80)</f>
        <v>-0.08998337407438804</v>
      </c>
      <c r="D80" s="4"/>
    </row>
    <row r="81" spans="1:4" ht="12.75" customHeight="1">
      <c r="A81" s="3" t="s">
        <v>306</v>
      </c>
      <c r="B81" s="4">
        <f>6.289*SIN(C75)+1.274*SIN(C77-C75)+0.6583*SIN(C77)+0.2136*SIN(2*C75)-0.1851*SIN(C59)-0.1143*SIN(2*C72)+0.0588*SIN(C77-2*C75)+0.0572*SIN(C77-C59-C75)+0.0533*SIN(C77+C75)</f>
        <v>-0.11935179412698982</v>
      </c>
      <c r="C81" s="4">
        <f t="shared" si="8"/>
        <v>-0.0020830817756784035</v>
      </c>
      <c r="D81" s="4"/>
    </row>
    <row r="82" spans="1:4" ht="12.75" customHeight="1">
      <c r="A82" s="3" t="s">
        <v>307</v>
      </c>
      <c r="B82" s="4">
        <f>B73+B81</f>
        <v>354.7521878669226</v>
      </c>
      <c r="C82" s="4">
        <f t="shared" si="8"/>
        <v>6.191593706931279</v>
      </c>
      <c r="D82" s="4"/>
    </row>
    <row r="83" spans="1:4" ht="12.75" customHeight="1">
      <c r="A83" s="3" t="s">
        <v>308</v>
      </c>
      <c r="B83" s="4">
        <f>MOD(B66+180+DEGREES(B79*COS(C80)*SIN(C66-C82)),360)</f>
        <v>100.59825178749315</v>
      </c>
      <c r="C83" s="4">
        <f t="shared" si="8"/>
        <v>1.7557707154420266</v>
      </c>
      <c r="D83" s="4"/>
    </row>
    <row r="84" spans="1:4" ht="12.75" customHeight="1">
      <c r="A84" s="3" t="s">
        <v>309</v>
      </c>
      <c r="B84" s="4">
        <f>B79*B80</f>
        <v>-0.014554660495248025</v>
      </c>
      <c r="C84" s="4">
        <f t="shared" si="8"/>
        <v>-0.0002540267471520265</v>
      </c>
      <c r="D84" s="4"/>
    </row>
    <row r="85" spans="1:5" ht="12.75" customHeight="1">
      <c r="A85" s="3" t="s">
        <v>310</v>
      </c>
      <c r="B85" s="4">
        <f>DEGREES(D85)</f>
        <v>357.2385619065863</v>
      </c>
      <c r="C85" s="4">
        <f>ATAN2(COS(C82),SIN(C82)*COS(C67)-TAN(C80)*SIN(C67))</f>
        <v>-0.04819618682006367</v>
      </c>
      <c r="D85" s="4">
        <f>IF(C85&lt;0,2*PI()+C85,C85)</f>
        <v>6.234989120359523</v>
      </c>
      <c r="E85">
        <f>B85/15</f>
        <v>23.815904127105753</v>
      </c>
    </row>
    <row r="86" spans="1:3" ht="12.75" customHeight="1">
      <c r="A86" s="3" t="s">
        <v>311</v>
      </c>
      <c r="B86" s="4">
        <f>DEGREES(C86)</f>
        <v>-6.815900472907007</v>
      </c>
      <c r="C86" s="4">
        <f>ASIN(SIN(C80)*COS(C67)+COS(C80)*SIN(C67)*SIN(C82))</f>
        <v>-0.11895990474046582</v>
      </c>
    </row>
    <row r="87" spans="2:3" ht="12.75" customHeight="1">
      <c r="B87" s="4"/>
      <c r="C87" s="4"/>
    </row>
    <row r="88" spans="2:3" ht="12.75" customHeight="1">
      <c r="B88" s="4"/>
      <c r="C88" s="4"/>
    </row>
    <row r="89" spans="1:3" ht="12.75" customHeight="1">
      <c r="A89" s="2" t="s">
        <v>312</v>
      </c>
      <c r="B89" s="4"/>
      <c r="C89" s="4"/>
    </row>
    <row r="90" spans="1:3" ht="12.75" customHeight="1">
      <c r="A90" s="24" t="s">
        <v>313</v>
      </c>
      <c r="B90" s="4">
        <v>1.54242</v>
      </c>
      <c r="C90" s="4">
        <f aca="true" t="shared" si="9" ref="C90:C91">RADIANS(B90)</f>
        <v>0.026920307448610938</v>
      </c>
    </row>
    <row r="91" spans="1:3" ht="12.75" customHeight="1">
      <c r="A91" s="3" t="s">
        <v>314</v>
      </c>
      <c r="B91" s="4">
        <f>MOD(B82-B74,360)</f>
        <v>256.546982850661</v>
      </c>
      <c r="C91" s="4">
        <f t="shared" si="9"/>
        <v>4.477589536801462</v>
      </c>
    </row>
    <row r="92" spans="1:3" ht="12.75" customHeight="1">
      <c r="A92" s="3" t="s">
        <v>68</v>
      </c>
      <c r="B92" s="4">
        <f>SIN(C91)*COS(C80)*COS(C90)-SIN(C80)*SIN(C90)</f>
        <v>-0.9658564768028525</v>
      </c>
      <c r="C92" s="4"/>
    </row>
    <row r="93" spans="1:3" ht="12.75" customHeight="1">
      <c r="A93" s="3" t="s">
        <v>69</v>
      </c>
      <c r="B93" s="4">
        <f>COS(C91)*COS(C80)</f>
        <v>-0.23170669614182407</v>
      </c>
      <c r="C93" s="4"/>
    </row>
    <row r="94" spans="1:3" ht="12.75" customHeight="1">
      <c r="A94" s="3" t="s">
        <v>226</v>
      </c>
      <c r="B94" s="4">
        <f>MOD(DEGREES(C94),360)</f>
        <v>256.5098118497845</v>
      </c>
      <c r="C94" s="4">
        <f>ATAN2(B93,B92)</f>
        <v>-1.8062445267296798</v>
      </c>
    </row>
    <row r="95" spans="1:3" ht="12.75" customHeight="1">
      <c r="A95" s="3" t="s">
        <v>315</v>
      </c>
      <c r="B95" s="4">
        <f>B94-B72</f>
        <v>-0.12956866747111917</v>
      </c>
      <c r="C95" s="4"/>
    </row>
    <row r="96" spans="1:3" ht="12.75" customHeight="1">
      <c r="A96" s="3" t="s">
        <v>243</v>
      </c>
      <c r="B96" s="4">
        <f>-SIN(C91)*COS(C80)*SIN(C90)-SIN(C80)*COS(C90)</f>
        <v>0.11590199817527524</v>
      </c>
      <c r="C96" s="4"/>
    </row>
    <row r="97" spans="1:3" ht="12.75" customHeight="1">
      <c r="A97" s="3" t="s">
        <v>316</v>
      </c>
      <c r="B97" s="4">
        <f>DEGREES(C97)</f>
        <v>6.655653645189464</v>
      </c>
      <c r="C97" s="4">
        <f>ASIN(B96)</f>
        <v>0.1161630699809186</v>
      </c>
    </row>
    <row r="99" ht="12.75" customHeight="1">
      <c r="A99" s="2" t="s">
        <v>317</v>
      </c>
    </row>
    <row r="101" spans="1:3" ht="12.75" customHeight="1">
      <c r="A101" s="3" t="s">
        <v>314</v>
      </c>
      <c r="B101" s="4">
        <f>MOD(B83-B74,360)</f>
        <v>2.393046771231525</v>
      </c>
      <c r="C101" s="4">
        <f>RADIANS(B101)</f>
        <v>0.04176654531220963</v>
      </c>
    </row>
    <row r="102" spans="1:3" ht="12.75" customHeight="1">
      <c r="A102" s="3" t="s">
        <v>68</v>
      </c>
      <c r="B102" s="4">
        <f>SIN(C101)*COS(C84)*COS(C90)-SIN(C84)*SIN(C90)</f>
        <v>0.04174611058542539</v>
      </c>
      <c r="C102" s="4"/>
    </row>
    <row r="103" spans="1:3" ht="12.75" customHeight="1">
      <c r="A103" s="3" t="s">
        <v>69</v>
      </c>
      <c r="B103" s="4">
        <f>COS(C101)*COS(C84)</f>
        <v>0.9991278723975604</v>
      </c>
      <c r="C103" s="4"/>
    </row>
    <row r="104" spans="1:3" ht="12.75" customHeight="1">
      <c r="A104" s="3" t="s">
        <v>226</v>
      </c>
      <c r="B104" s="4">
        <f>MOD(DEGREES(C104),360)</f>
        <v>2.3925721343834514</v>
      </c>
      <c r="C104" s="4">
        <f>ATAN2(B103,B102)</f>
        <v>0.041758261336459455</v>
      </c>
    </row>
    <row r="105" spans="1:3" ht="12.75" customHeight="1">
      <c r="A105" s="3" t="s">
        <v>318</v>
      </c>
      <c r="B105" s="4">
        <f>MOD(B104-B72,360)</f>
        <v>105.75319161712781</v>
      </c>
      <c r="C105" s="4">
        <f>RADIANS(B105)</f>
        <v>1.8457413882113467</v>
      </c>
    </row>
    <row r="106" spans="1:3" ht="12.75" customHeight="1">
      <c r="A106" s="3" t="s">
        <v>243</v>
      </c>
      <c r="B106" s="4">
        <f>-SIN(C101)*COS(C84)*SIN(C90)-SIN(C84)*COS(C90)</f>
        <v>-0.0008699708693805632</v>
      </c>
      <c r="C106" s="4"/>
    </row>
    <row r="107" spans="1:3" ht="12.75" customHeight="1">
      <c r="A107" s="3" t="s">
        <v>319</v>
      </c>
      <c r="B107" s="4">
        <f>DEGREES(C107)</f>
        <v>-0.04984566540244424</v>
      </c>
      <c r="C107" s="4">
        <f>ASIN(B106)</f>
        <v>-0.0008699709791200764</v>
      </c>
    </row>
    <row r="109" ht="12.75" customHeight="1">
      <c r="A109" s="7" t="s">
        <v>320</v>
      </c>
    </row>
    <row r="111" spans="1:3" ht="12.75" customHeight="1">
      <c r="A111" s="3" t="s">
        <v>243</v>
      </c>
      <c r="B111" s="4">
        <f>COS(C80)*COS(C82-C66)</f>
        <v>0.2745375060378136</v>
      </c>
      <c r="C111" s="4"/>
    </row>
    <row r="112" spans="1:3" ht="12.75" customHeight="1">
      <c r="A112" s="3" t="s">
        <v>321</v>
      </c>
      <c r="B112" s="4">
        <f>DEGREES(C112)</f>
        <v>74.06554555369621</v>
      </c>
      <c r="C112" s="4">
        <f>PI()/2-ATAN(B111/SQRT(1-B111*B111))</f>
        <v>1.2926876321978455</v>
      </c>
    </row>
    <row r="113" spans="1:3" ht="12.75" customHeight="1">
      <c r="A113" s="3" t="s">
        <v>68</v>
      </c>
      <c r="B113" s="4">
        <f>B63*SIN(C112)</f>
        <v>358.51577905015927</v>
      </c>
      <c r="C113" s="4"/>
    </row>
    <row r="114" spans="1:3" ht="12.75" customHeight="1">
      <c r="A114" s="3" t="s">
        <v>69</v>
      </c>
      <c r="B114" s="4">
        <f>B78-B63*B111</f>
        <v>-101.30648375376259</v>
      </c>
      <c r="C114" s="4"/>
    </row>
    <row r="115" spans="1:3" ht="12.75" customHeight="1">
      <c r="A115" s="3" t="s">
        <v>313</v>
      </c>
      <c r="B115" s="4">
        <f>DEGREES(C115)</f>
        <v>105.77880081690192</v>
      </c>
      <c r="C115" s="4">
        <f>ATAN2(B114,B113)</f>
        <v>1.846188353066206</v>
      </c>
    </row>
    <row r="116" spans="1:2" ht="12.75" customHeight="1">
      <c r="A116" s="3" t="s">
        <v>322</v>
      </c>
      <c r="B116" s="4">
        <f>(1+COS(C115))/2</f>
        <v>0.3640378939791007</v>
      </c>
    </row>
    <row r="117" ht="12.75" customHeight="1">
      <c r="A117" s="3"/>
    </row>
    <row r="118" ht="12.75" customHeight="1">
      <c r="A118" s="7" t="s">
        <v>323</v>
      </c>
    </row>
    <row r="119" ht="12.75" customHeight="1">
      <c r="A119" s="3"/>
    </row>
    <row r="120" spans="1:4" ht="12.75" customHeight="1">
      <c r="A120" s="3" t="s">
        <v>324</v>
      </c>
      <c r="B120" s="4">
        <f aca="true" t="shared" si="10" ref="B120:B122">DEGREES(C120)</f>
        <v>247.96849831097495</v>
      </c>
      <c r="C120" s="4">
        <f>IF(D120&lt;0,D120+2*PI(),D120)</f>
        <v>4.327866736752511</v>
      </c>
      <c r="D120" s="4">
        <f>ATAN2(SIN(C69)*COS(C86)-COS(C69)*SIN(C86)*COS(D68-D85),COS(C69)*SIN(D68-D85))</f>
        <v>-1.9553185704270752</v>
      </c>
    </row>
    <row r="121" spans="1:4" ht="12.75" customHeight="1">
      <c r="A121" s="3" t="s">
        <v>325</v>
      </c>
      <c r="B121" s="4">
        <f t="shared" si="10"/>
        <v>2.4304533985304593</v>
      </c>
      <c r="C121" s="4">
        <f>C54-D85</f>
        <v>0.04241941412064243</v>
      </c>
      <c r="D121" s="4"/>
    </row>
    <row r="122" spans="1:4" ht="12.75" customHeight="1">
      <c r="A122" s="3" t="s">
        <v>326</v>
      </c>
      <c r="B122" s="4">
        <f t="shared" si="10"/>
        <v>1.7195356993004194</v>
      </c>
      <c r="C122" s="4">
        <f>ATAN(SIN(C121)/(TAN(C51)*COS(C86)-SIN(C86)*COS(C121)))</f>
        <v>0.03001155955837547</v>
      </c>
      <c r="D122" s="4"/>
    </row>
    <row r="123" spans="1:4" ht="12.75" customHeight="1">
      <c r="A123" s="3"/>
      <c r="B123" s="4"/>
      <c r="C123" s="4"/>
      <c r="D123" s="4"/>
    </row>
    <row r="124" spans="1:4" ht="12.75" customHeight="1">
      <c r="A124" s="7" t="s">
        <v>327</v>
      </c>
      <c r="B124" s="4"/>
      <c r="C124" s="4"/>
      <c r="D124" s="4"/>
    </row>
    <row r="125" spans="1:4" ht="12.75" customHeight="1">
      <c r="A125" s="102" t="s">
        <v>328</v>
      </c>
      <c r="B125" s="4"/>
      <c r="C125" s="4"/>
      <c r="D125" s="4"/>
    </row>
    <row r="126" spans="2:4" ht="12.75" customHeight="1">
      <c r="B126" s="4"/>
      <c r="C126" s="4"/>
      <c r="D126" s="4"/>
    </row>
    <row r="127" spans="1:4" ht="12.75" customHeight="1">
      <c r="A127" s="3" t="s">
        <v>68</v>
      </c>
      <c r="B127" s="4">
        <f>SIN(C90)*SIN(C74)</f>
        <v>0.02664151338688648</v>
      </c>
      <c r="D127" s="4"/>
    </row>
    <row r="128" spans="1:4" ht="12.75" customHeight="1">
      <c r="A128" s="3" t="s">
        <v>69</v>
      </c>
      <c r="B128" s="4">
        <f>SIN(C90)*COS(C74)*COS(C67)-COS(C90)*SIN(C67)</f>
        <v>-0.4011160376190645</v>
      </c>
      <c r="C128" s="4"/>
      <c r="D128" s="4"/>
    </row>
    <row r="129" spans="1:4" ht="12.75" customHeight="1">
      <c r="A129" s="3" t="s">
        <v>60</v>
      </c>
      <c r="B129" s="4">
        <f aca="true" t="shared" si="11" ref="B129:B130">DEGREES(C129)</f>
        <v>176.2000831147014</v>
      </c>
      <c r="C129" s="4">
        <f>IF(B128&gt;0,ATAN(B127/B128),PI()+ATAN(B127/B128))</f>
        <v>3.075271592639205</v>
      </c>
      <c r="D129" s="4"/>
    </row>
    <row r="130" spans="1:4" ht="12.75" customHeight="1">
      <c r="A130" s="3" t="s">
        <v>329</v>
      </c>
      <c r="B130" s="4">
        <f t="shared" si="11"/>
        <v>-23.869880981251587</v>
      </c>
      <c r="C130" s="4">
        <f>ASIN((SQRT(B127^2+B128^2)*COS(C85-C129))/COS(C97))</f>
        <v>-0.416608015182015</v>
      </c>
      <c r="D130" s="4"/>
    </row>
    <row r="131" spans="1:4" ht="12.75" customHeight="1">
      <c r="A131" s="3"/>
      <c r="B131" s="4"/>
      <c r="C131" s="4"/>
      <c r="D131" s="4"/>
    </row>
    <row r="132" ht="12.75" customHeight="1">
      <c r="A132" s="7" t="s">
        <v>330</v>
      </c>
    </row>
    <row r="133" ht="12.75" customHeight="1">
      <c r="A133" s="3"/>
    </row>
    <row r="134" spans="1:4" ht="12.75" customHeight="1">
      <c r="A134" s="3" t="s">
        <v>331</v>
      </c>
      <c r="B134" s="4">
        <f aca="true" t="shared" si="12" ref="B134:B136">DEGREES(C134)</f>
        <v>1.7195356993004196</v>
      </c>
      <c r="C134" s="4">
        <f>IF(D134&lt;0,2*PI()+D134,D134)</f>
        <v>0.030011559558375474</v>
      </c>
      <c r="D134" s="4">
        <f>ATAN2(COS(C86)*SIN(C51)-SIN(C86)*COS(C51)*COS(C121),COS(C51)*SIN(C121))</f>
        <v>0.030011559558375474</v>
      </c>
    </row>
    <row r="135" spans="1:3" ht="12.75" customHeight="1">
      <c r="A135" s="3" t="s">
        <v>103</v>
      </c>
      <c r="B135" s="4">
        <f t="shared" si="12"/>
        <v>59.35212034796364</v>
      </c>
      <c r="C135" s="4">
        <f>ACOS(SIN(C86)*SIN(C51)+COS(C86)*COS(C51)*COS(C121))</f>
        <v>1.0358899181118881</v>
      </c>
    </row>
    <row r="136" spans="1:3" ht="12.75" customHeight="1">
      <c r="A136" s="3" t="s">
        <v>332</v>
      </c>
      <c r="B136" s="4">
        <f t="shared" si="12"/>
        <v>0.9018456775614265</v>
      </c>
      <c r="C136" s="4">
        <f>ASIN(6378.14/(385000*B78))</f>
        <v>0.01574017641832604</v>
      </c>
    </row>
    <row r="137" spans="1:3" ht="12.75" customHeight="1">
      <c r="A137" s="3" t="s">
        <v>333</v>
      </c>
      <c r="B137" s="4">
        <f>B136*(SIN(C135)+0.0084*SIN(2*C135))</f>
        <v>0.7825171292741795</v>
      </c>
      <c r="C137" s="4"/>
    </row>
    <row r="138" spans="1:3" ht="12.75" customHeight="1">
      <c r="A138" s="3" t="s">
        <v>334</v>
      </c>
      <c r="B138" s="4">
        <f>-B137*SIN(C134-C130)/COS(C97)</f>
        <v>-0.340277388640874</v>
      </c>
      <c r="C138">
        <f aca="true" t="shared" si="13" ref="C138:C140">RADIANS(B138)</f>
        <v>-0.005938960801871603</v>
      </c>
    </row>
    <row r="139" spans="1:3" ht="12.75" customHeight="1">
      <c r="A139" s="3" t="s">
        <v>335</v>
      </c>
      <c r="B139" s="4">
        <f>B137*COS(C134-C130)</f>
        <v>0.7057618420133083</v>
      </c>
      <c r="C139">
        <f t="shared" si="13"/>
        <v>0.012317867878072274</v>
      </c>
    </row>
    <row r="140" spans="1:3" ht="12.75" customHeight="1">
      <c r="A140" s="3" t="s">
        <v>336</v>
      </c>
      <c r="B140" s="4">
        <f>B138*SIN(C97+C139)-B137*SIN(C134)*TAN(C86)</f>
        <v>-0.04079242297395277</v>
      </c>
      <c r="C140">
        <f t="shared" si="13"/>
        <v>-0.0007119620907616529</v>
      </c>
    </row>
    <row r="142" ht="12.75" customHeight="1">
      <c r="A142" s="3" t="s">
        <v>43</v>
      </c>
    </row>
    <row r="143" ht="12.75" customHeight="1">
      <c r="A143" s="3" t="s">
        <v>44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E20" sqref="E20"/>
    </sheetView>
  </sheetViews>
  <sheetFormatPr defaultColWidth="11.421875" defaultRowHeight="12.75" customHeight="1"/>
  <cols>
    <col min="1" max="1" width="26.421875" style="0" customWidth="1"/>
    <col min="2" max="2" width="12.57421875" style="0" customWidth="1"/>
    <col min="3" max="3" width="9.00390625" style="0" customWidth="1"/>
    <col min="4" max="4" width="25.7109375" style="0" customWidth="1"/>
    <col min="5" max="5" width="10.57421875" style="0" customWidth="1"/>
    <col min="6" max="64" width="9.00390625" style="0" customWidth="1"/>
  </cols>
  <sheetData>
    <row r="1" ht="18" customHeight="1">
      <c r="A1" s="1" t="s">
        <v>16</v>
      </c>
    </row>
    <row r="4" spans="1:9" ht="12.75" customHeight="1">
      <c r="A4" s="2" t="s">
        <v>1</v>
      </c>
      <c r="D4" s="2" t="s">
        <v>17</v>
      </c>
      <c r="F4" t="s">
        <v>18</v>
      </c>
      <c r="G4" t="s">
        <v>19</v>
      </c>
      <c r="H4" t="s">
        <v>20</v>
      </c>
      <c r="I4" t="s">
        <v>21</v>
      </c>
    </row>
    <row r="5" spans="1:7" ht="12.75" customHeight="1">
      <c r="A5" s="3" t="s">
        <v>3</v>
      </c>
      <c r="B5" s="4">
        <f>-(1+55/60)</f>
        <v>-1.9166666666666665</v>
      </c>
      <c r="D5" s="3" t="s">
        <v>22</v>
      </c>
      <c r="E5">
        <f>5+14/60+32.2/3600</f>
        <v>5.242277777777778</v>
      </c>
      <c r="F5">
        <f>E5*15</f>
        <v>78.63416666666667</v>
      </c>
      <c r="G5">
        <f>RADIANS(F5)</f>
        <v>1.372425112895308</v>
      </c>
    </row>
    <row r="6" spans="1:7" ht="12.75" customHeight="1">
      <c r="A6" s="3" t="s">
        <v>5</v>
      </c>
      <c r="B6" s="4">
        <f>(52+30/60)</f>
        <v>52.5</v>
      </c>
      <c r="D6" s="3" t="s">
        <v>23</v>
      </c>
      <c r="E6">
        <f>-(8+12/60+6/3600)</f>
        <v>-8.201666666666666</v>
      </c>
      <c r="G6">
        <f>RADIANS(E6)</f>
        <v>-0.14314608748440158</v>
      </c>
    </row>
    <row r="7" spans="1:2" ht="12.75" customHeight="1">
      <c r="A7" s="3" t="s">
        <v>7</v>
      </c>
      <c r="B7" s="6">
        <v>0</v>
      </c>
    </row>
    <row r="8" spans="1:7" ht="12.75" customHeight="1">
      <c r="A8" s="3" t="s">
        <v>9</v>
      </c>
      <c r="B8" s="6">
        <v>0</v>
      </c>
      <c r="D8" s="3" t="s">
        <v>24</v>
      </c>
      <c r="E8" s="5">
        <f>E5+(3.0742+1.33589*SIN(G5)*TAN(G6))/36*B19</f>
        <v>5.258308456533582</v>
      </c>
      <c r="G8">
        <f>RADIANS(E8*15)</f>
        <v>1.376621934779582</v>
      </c>
    </row>
    <row r="9" spans="1:9" ht="12.75" customHeight="1">
      <c r="A9" s="3"/>
      <c r="B9" s="6"/>
      <c r="D9" s="3" t="s">
        <v>25</v>
      </c>
      <c r="E9" s="5">
        <f>E6+(20.0383*COS(G5))/36*B19</f>
        <v>-8.1797270735871</v>
      </c>
      <c r="G9">
        <f>RADIANS(E9)</f>
        <v>-0.1427631693486154</v>
      </c>
      <c r="H9">
        <f>SIN(G9)</f>
        <v>-0.14227871293888558</v>
      </c>
      <c r="I9">
        <f>COS(G9)</f>
        <v>0.9898266352470286</v>
      </c>
    </row>
    <row r="10" spans="1:2" ht="12.75" customHeight="1">
      <c r="A10" s="7" t="s">
        <v>10</v>
      </c>
      <c r="B10" s="4"/>
    </row>
    <row r="11" spans="1:9" ht="12.75" customHeight="1">
      <c r="A11" s="3" t="s">
        <v>11</v>
      </c>
      <c r="B11" s="8">
        <v>2020</v>
      </c>
      <c r="D11" s="3" t="s">
        <v>26</v>
      </c>
      <c r="E11">
        <f>MOD(B20-E8*15,360)</f>
        <v>282.5492131113122</v>
      </c>
      <c r="G11">
        <f aca="true" t="shared" si="0" ref="G11:G12">RADIANS(E11)</f>
        <v>4.931414067711529</v>
      </c>
      <c r="H11">
        <f aca="true" t="shared" si="1" ref="H11:H12">SIN(G11)</f>
        <v>-0.9761097403489719</v>
      </c>
      <c r="I11">
        <f aca="true" t="shared" si="2" ref="I11:I12">COS(G11)</f>
        <v>0.21727810473184486</v>
      </c>
    </row>
    <row r="12" spans="1:9" ht="12.75" customHeight="1">
      <c r="A12" s="3" t="s">
        <v>12</v>
      </c>
      <c r="B12" s="9">
        <v>1</v>
      </c>
      <c r="D12" s="3" t="s">
        <v>5</v>
      </c>
      <c r="E12" s="4">
        <f>B6</f>
        <v>52.5</v>
      </c>
      <c r="G12">
        <f t="shared" si="0"/>
        <v>0.9162978572970231</v>
      </c>
      <c r="H12">
        <f t="shared" si="1"/>
        <v>0.7933533402912352</v>
      </c>
      <c r="I12">
        <f t="shared" si="2"/>
        <v>0.6087614290087207</v>
      </c>
    </row>
    <row r="13" spans="1:12" ht="12.75" customHeight="1">
      <c r="A13" s="3" t="s">
        <v>13</v>
      </c>
      <c r="B13" s="9">
        <v>1</v>
      </c>
      <c r="J13" s="10" t="s">
        <v>27</v>
      </c>
      <c r="K13" s="10" t="s">
        <v>28</v>
      </c>
      <c r="L13" s="10" t="s">
        <v>29</v>
      </c>
    </row>
    <row r="14" spans="1:12" ht="12.75" customHeight="1">
      <c r="A14" s="3" t="s">
        <v>14</v>
      </c>
      <c r="B14" s="9">
        <v>17</v>
      </c>
      <c r="D14" s="11" t="s">
        <v>30</v>
      </c>
      <c r="E14" s="12">
        <f aca="true" t="shared" si="3" ref="E14:E15">DEGREES(G14)</f>
        <v>104.90874806470676</v>
      </c>
      <c r="G14">
        <f>IF(L14&lt;0,PI()+J14,IF(K14&lt;0,2*PI()+J14,J14))</f>
        <v>1.8310030678743623</v>
      </c>
      <c r="J14">
        <f>ATAN(K14/L14)</f>
        <v>-1.3105895857154308</v>
      </c>
      <c r="K14">
        <f>-I9*I12*H11</f>
        <v>0.588172764350213</v>
      </c>
      <c r="L14">
        <f>H9-H12*H15</f>
        <v>-0.15659683749511955</v>
      </c>
    </row>
    <row r="15" spans="1:9" ht="12.75" customHeight="1">
      <c r="A15" s="3" t="s">
        <v>15</v>
      </c>
      <c r="B15" s="9">
        <v>30</v>
      </c>
      <c r="D15" s="11" t="s">
        <v>31</v>
      </c>
      <c r="E15" s="12">
        <f t="shared" si="3"/>
        <v>1.034107511707497</v>
      </c>
      <c r="G15">
        <f>ASIN(H15)</f>
        <v>0.01804858089890163</v>
      </c>
      <c r="H15">
        <f>H9*H12+I9*I12*I11</f>
        <v>0.018047601023495882</v>
      </c>
      <c r="I15">
        <f>COS(G15)</f>
        <v>0.9998371287851321</v>
      </c>
    </row>
    <row r="17" ht="12.75" customHeight="1">
      <c r="A17" s="2" t="s">
        <v>32</v>
      </c>
    </row>
    <row r="18" spans="1:2" ht="12.75" customHeight="1">
      <c r="A18" s="3" t="s">
        <v>4</v>
      </c>
      <c r="B18" s="5">
        <f>367*B11-INT(7*(B11+INT((B12+9)/12))/4)+INT(275*B12/9)+B13+(B14+B15/60)/24-730531.5+(-B7+B8)/24</f>
        <v>7305.229166666628</v>
      </c>
    </row>
    <row r="19" spans="1:2" ht="12.75" customHeight="1">
      <c r="A19" s="3" t="s">
        <v>6</v>
      </c>
      <c r="B19" s="13">
        <f>B18/36525</f>
        <v>0.20000627424138612</v>
      </c>
    </row>
    <row r="20" spans="1:2" ht="12.75" customHeight="1">
      <c r="A20" s="3" t="s">
        <v>8</v>
      </c>
      <c r="B20" s="5">
        <f>MOD(280.46061837+360.98564736629*B18+B5,360)</f>
        <v>1.4238399593159556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G23" sqref="G23"/>
    </sheetView>
  </sheetViews>
  <sheetFormatPr defaultColWidth="11.421875" defaultRowHeight="12.75" customHeight="1"/>
  <cols>
    <col min="1" max="1" width="24.28125" style="0" customWidth="1"/>
    <col min="2" max="2" width="11.421875" style="0" customWidth="1"/>
    <col min="3" max="3" width="9.00390625" style="0" customWidth="1"/>
    <col min="4" max="4" width="25.00390625" style="0" customWidth="1"/>
    <col min="5" max="5" width="10.57421875" style="0" customWidth="1"/>
    <col min="6" max="6" width="12.00390625" style="0" customWidth="1"/>
    <col min="7" max="64" width="9.00390625" style="0" customWidth="1"/>
  </cols>
  <sheetData>
    <row r="1" ht="18" customHeight="1">
      <c r="A1" s="1" t="s">
        <v>33</v>
      </c>
    </row>
    <row r="2" ht="12.75" customHeight="1">
      <c r="A2" s="14" t="s">
        <v>34</v>
      </c>
    </row>
    <row r="4" spans="1:9" ht="12.75" customHeight="1">
      <c r="A4" s="2" t="s">
        <v>1</v>
      </c>
      <c r="D4" s="2" t="s">
        <v>35</v>
      </c>
      <c r="F4" t="s">
        <v>18</v>
      </c>
      <c r="G4" t="s">
        <v>19</v>
      </c>
      <c r="H4" t="s">
        <v>20</v>
      </c>
      <c r="I4" t="s">
        <v>21</v>
      </c>
    </row>
    <row r="5" spans="1:7" ht="12.75" customHeight="1">
      <c r="A5" s="3" t="s">
        <v>3</v>
      </c>
      <c r="B5" s="4">
        <v>0</v>
      </c>
      <c r="D5" s="3" t="s">
        <v>22</v>
      </c>
      <c r="E5">
        <f>5+40/60+45/3600</f>
        <v>5.679166666666667</v>
      </c>
      <c r="F5">
        <f>E5*15</f>
        <v>85.1875</v>
      </c>
      <c r="G5">
        <f aca="true" t="shared" si="0" ref="G5:G6">RADIANS(F5)</f>
        <v>1.4868023565426693</v>
      </c>
    </row>
    <row r="6" spans="1:7" ht="12.75" customHeight="1">
      <c r="A6" s="3" t="s">
        <v>5</v>
      </c>
      <c r="B6" s="4">
        <v>52.5</v>
      </c>
      <c r="D6" s="3" t="s">
        <v>23</v>
      </c>
      <c r="F6">
        <f>-(1+57/60+0/3600)</f>
        <v>-1.95</v>
      </c>
      <c r="G6">
        <f t="shared" si="0"/>
        <v>-0.034033920413889425</v>
      </c>
    </row>
    <row r="7" spans="1:2" ht="12.75" customHeight="1">
      <c r="A7" s="3" t="s">
        <v>7</v>
      </c>
      <c r="B7" s="6">
        <v>0</v>
      </c>
    </row>
    <row r="8" spans="1:7" ht="12.75" customHeight="1">
      <c r="A8" s="3" t="s">
        <v>9</v>
      </c>
      <c r="B8" s="6">
        <v>0</v>
      </c>
      <c r="D8" s="3" t="s">
        <v>24</v>
      </c>
      <c r="E8">
        <f>E5+(3.0742+1.33589*SIN(G50)*TAN(G6))/36*B17</f>
        <v>5.6962443865693215</v>
      </c>
      <c r="F8">
        <f>E8*15</f>
        <v>85.44366579853983</v>
      </c>
      <c r="G8">
        <f>RADIANS(E8*15)</f>
        <v>1.4912732931581898</v>
      </c>
    </row>
    <row r="9" spans="1:9" ht="12.75" customHeight="1">
      <c r="A9" s="3"/>
      <c r="B9" s="6"/>
      <c r="D9" s="3" t="s">
        <v>25</v>
      </c>
      <c r="F9" s="4">
        <f>F6+(20.0383*COS(G5))/36*B17</f>
        <v>-1.9406610946186131</v>
      </c>
      <c r="G9">
        <f>RADIANS(F9)</f>
        <v>-0.03387092576645201</v>
      </c>
      <c r="H9">
        <f>SIN(G9)</f>
        <v>-0.03386444979331386</v>
      </c>
      <c r="I9">
        <f>COS(G9)</f>
        <v>0.9994264350317117</v>
      </c>
    </row>
    <row r="10" spans="1:2" ht="12.75" customHeight="1">
      <c r="A10" s="7" t="s">
        <v>36</v>
      </c>
      <c r="B10" s="4"/>
    </row>
    <row r="11" spans="1:6" ht="12.75" customHeight="1">
      <c r="A11" s="3" t="s">
        <v>11</v>
      </c>
      <c r="B11" s="8">
        <v>2020</v>
      </c>
      <c r="D11" s="3" t="s">
        <v>37</v>
      </c>
      <c r="E11">
        <f aca="true" t="shared" si="1" ref="E11:E12">F11/15</f>
        <v>22.958598794543047</v>
      </c>
      <c r="F11" s="5">
        <f>MOD(F8-B18,360)*0.9972695663</f>
        <v>344.3789819181457</v>
      </c>
    </row>
    <row r="12" spans="1:9" ht="12.75" customHeight="1">
      <c r="A12" s="3" t="s">
        <v>12</v>
      </c>
      <c r="B12" s="9">
        <v>1</v>
      </c>
      <c r="D12" s="3" t="s">
        <v>38</v>
      </c>
      <c r="E12">
        <f t="shared" si="1"/>
        <v>5.831272708392862</v>
      </c>
      <c r="F12">
        <f>DEGREES(G12)</f>
        <v>87.46909062589293</v>
      </c>
      <c r="G12">
        <f>ACOS(I12)</f>
        <v>1.5266236251471395</v>
      </c>
      <c r="I12">
        <f>-TAN(RADIANS(B6))*TAN(G9)</f>
        <v>0.04415833788362163</v>
      </c>
    </row>
    <row r="13" spans="1:5" ht="12.75" customHeight="1">
      <c r="A13" s="3" t="s">
        <v>13</v>
      </c>
      <c r="B13" s="9">
        <v>1</v>
      </c>
      <c r="E13" s="15"/>
    </row>
    <row r="14" spans="1:5" ht="12.75" customHeight="1">
      <c r="A14" s="3"/>
      <c r="B14" s="9"/>
      <c r="E14" s="15"/>
    </row>
    <row r="15" ht="12.75" customHeight="1">
      <c r="A15" s="2" t="s">
        <v>39</v>
      </c>
    </row>
    <row r="16" spans="1:2" ht="12.75" customHeight="1">
      <c r="A16" s="3" t="s">
        <v>4</v>
      </c>
      <c r="B16" s="5">
        <f>367*B11-INT(7*(B11+INT((B12+9)/12))/4)+INT(275*B12/9)+B13-730531.5+(-B7+B8)/24</f>
        <v>7304.5</v>
      </c>
    </row>
    <row r="17" spans="1:2" ht="12.75" customHeight="1">
      <c r="A17" s="3" t="s">
        <v>6</v>
      </c>
      <c r="B17" s="5">
        <f>B16/36525</f>
        <v>0.19998631074606435</v>
      </c>
    </row>
    <row r="18" spans="1:2" ht="12.75" customHeight="1">
      <c r="A18" s="3" t="s">
        <v>8</v>
      </c>
      <c r="B18" s="5">
        <f>MOD(280.46061837+360.98564736629*$B$16+$B$5,360)</f>
        <v>100.12180543551221</v>
      </c>
    </row>
    <row r="21" spans="1:2" ht="12.75" customHeight="1">
      <c r="A21" s="3"/>
      <c r="B21" s="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I10" sqref="I10"/>
    </sheetView>
  </sheetViews>
  <sheetFormatPr defaultColWidth="11.421875" defaultRowHeight="12.75" customHeight="1"/>
  <cols>
    <col min="1" max="1" width="21.8515625" style="0" customWidth="1"/>
    <col min="2" max="2" width="12.57421875" style="0" customWidth="1"/>
    <col min="3" max="4" width="10.57421875" style="0" customWidth="1"/>
    <col min="5" max="5" width="8.8515625" style="0" customWidth="1"/>
    <col min="6" max="6" width="8.57421875" style="0" customWidth="1"/>
    <col min="7" max="10" width="10.57421875" style="0" customWidth="1"/>
    <col min="11" max="64" width="9.00390625" style="0" customWidth="1"/>
  </cols>
  <sheetData>
    <row r="1" ht="18" customHeight="1">
      <c r="A1" s="1" t="s">
        <v>40</v>
      </c>
    </row>
    <row r="2" ht="12.75" customHeight="1">
      <c r="A2" s="14" t="s">
        <v>41</v>
      </c>
    </row>
    <row r="4" spans="1:4" ht="12.75" customHeight="1">
      <c r="A4" s="2" t="s">
        <v>1</v>
      </c>
      <c r="D4" s="2" t="s">
        <v>42</v>
      </c>
    </row>
    <row r="5" spans="1:7" ht="12.75" customHeight="1">
      <c r="A5" s="3" t="s">
        <v>3</v>
      </c>
      <c r="B5" s="4">
        <f>-(1+55/60)</f>
        <v>-1.9166666666666665</v>
      </c>
      <c r="D5" s="16"/>
      <c r="E5" s="17" t="s">
        <v>43</v>
      </c>
      <c r="F5" s="18" t="s">
        <v>44</v>
      </c>
      <c r="G5" s="19" t="s">
        <v>45</v>
      </c>
    </row>
    <row r="6" spans="1:10" ht="12.75" customHeight="1">
      <c r="A6" s="3" t="s">
        <v>5</v>
      </c>
      <c r="B6" s="4">
        <v>52.5</v>
      </c>
      <c r="D6" s="20" t="s">
        <v>46</v>
      </c>
      <c r="E6" s="21">
        <f>B53</f>
        <v>18.38657415444908</v>
      </c>
      <c r="F6" s="22">
        <f>B52</f>
        <v>-24.666833842742985</v>
      </c>
      <c r="G6" s="4">
        <f>SQRT(B47^2+B48^2+B49^2)</f>
        <v>1.4355911164793491</v>
      </c>
      <c r="J6">
        <f>(E6-18)*60</f>
        <v>23.19444926694473</v>
      </c>
    </row>
    <row r="7" spans="1:7" ht="12.75" customHeight="1">
      <c r="A7" s="3" t="s">
        <v>7</v>
      </c>
      <c r="B7" s="6">
        <v>0</v>
      </c>
      <c r="D7" s="20" t="s">
        <v>47</v>
      </c>
      <c r="E7" s="21">
        <f>C53</f>
        <v>21.204221779582227</v>
      </c>
      <c r="F7" s="22">
        <f>C52</f>
        <v>-18.075557920165643</v>
      </c>
      <c r="G7" s="4">
        <f>SQRT(C47^2+C48^2+C49^2)</f>
        <v>1.273850073446996</v>
      </c>
    </row>
    <row r="8" spans="1:7" ht="12.75" customHeight="1">
      <c r="A8" s="3" t="s">
        <v>9</v>
      </c>
      <c r="B8" s="6">
        <v>0</v>
      </c>
      <c r="D8" s="20" t="s">
        <v>48</v>
      </c>
      <c r="E8" s="21">
        <f>E53</f>
        <v>15.76412437741002</v>
      </c>
      <c r="F8" s="22">
        <f>E52</f>
        <v>-19.50254429901923</v>
      </c>
      <c r="G8" s="4">
        <f>SQRT(E47^2+E48^2+E49^2)</f>
        <v>2.1792309078244636</v>
      </c>
    </row>
    <row r="9" spans="1:7" ht="12.75" customHeight="1">
      <c r="A9" s="3"/>
      <c r="B9" s="6"/>
      <c r="D9" s="20" t="s">
        <v>49</v>
      </c>
      <c r="E9" s="21">
        <f>F53</f>
        <v>18.478761791248186</v>
      </c>
      <c r="F9" s="22">
        <f>F52</f>
        <v>-23.183458749027345</v>
      </c>
      <c r="G9" s="4">
        <f>SQRT(F47^2+F48^2+F49^2)</f>
        <v>6.211223235129667</v>
      </c>
    </row>
    <row r="10" spans="1:7" ht="12.75" customHeight="1">
      <c r="A10" s="7" t="s">
        <v>10</v>
      </c>
      <c r="B10" s="4"/>
      <c r="D10" s="20" t="s">
        <v>50</v>
      </c>
      <c r="E10" s="21">
        <f>G53</f>
        <v>19.5280894833468</v>
      </c>
      <c r="F10" s="22">
        <f>G52</f>
        <v>-21.712846985059283</v>
      </c>
      <c r="G10" s="4">
        <f>SQRT(G47^2+G48^2+G49^2)</f>
        <v>10.982297842980323</v>
      </c>
    </row>
    <row r="11" spans="1:7" ht="12.75" customHeight="1">
      <c r="A11" s="3" t="s">
        <v>11</v>
      </c>
      <c r="B11" s="8">
        <v>2020</v>
      </c>
      <c r="D11" s="20" t="s">
        <v>51</v>
      </c>
      <c r="E11" s="21">
        <f>H53</f>
        <v>2.0285714669183985</v>
      </c>
      <c r="F11" s="22">
        <f>H52</f>
        <v>11.855778390961403</v>
      </c>
      <c r="G11" s="4">
        <f>SQRT(H47^2+H48^2+H49^2)</f>
        <v>19.431641817600177</v>
      </c>
    </row>
    <row r="12" spans="1:7" ht="12.75" customHeight="1">
      <c r="A12" s="3" t="s">
        <v>12</v>
      </c>
      <c r="B12" s="9">
        <v>1</v>
      </c>
      <c r="D12" s="20" t="s">
        <v>52</v>
      </c>
      <c r="E12" s="21">
        <f>I53</f>
        <v>23.16905075374982</v>
      </c>
      <c r="F12" s="22">
        <f>I52</f>
        <v>-6.460285977200674</v>
      </c>
      <c r="G12" s="4">
        <f>SQRT(I47^2+I48^2+I49^2)</f>
        <v>30.320828390672492</v>
      </c>
    </row>
    <row r="13" spans="1:7" ht="12.75" customHeight="1">
      <c r="A13" s="3" t="s">
        <v>13</v>
      </c>
      <c r="B13" s="9">
        <v>1</v>
      </c>
      <c r="D13" s="20" t="s">
        <v>53</v>
      </c>
      <c r="E13" s="21">
        <f>J53</f>
        <v>19.602879242846747</v>
      </c>
      <c r="F13" s="22">
        <f>J52</f>
        <v>-22.264932220424658</v>
      </c>
      <c r="G13" s="4">
        <f>SQRT(J47^2+J48^2+J49^2)</f>
        <v>34.908057400599326</v>
      </c>
    </row>
    <row r="14" spans="1:2" ht="12.75" customHeight="1">
      <c r="A14" s="3" t="s">
        <v>14</v>
      </c>
      <c r="B14" s="9">
        <v>17</v>
      </c>
    </row>
    <row r="15" spans="1:2" ht="12.75" customHeight="1">
      <c r="A15" s="3" t="s">
        <v>15</v>
      </c>
      <c r="B15" s="9">
        <v>31</v>
      </c>
    </row>
    <row r="16" ht="12.75" customHeight="1">
      <c r="E16" s="15"/>
    </row>
    <row r="17" spans="1:5" ht="12.75" customHeight="1">
      <c r="A17" s="2" t="s">
        <v>2</v>
      </c>
      <c r="E17" s="15"/>
    </row>
    <row r="18" spans="1:2" ht="12.75" customHeight="1">
      <c r="A18" s="3" t="s">
        <v>4</v>
      </c>
      <c r="B18" s="5">
        <f>367*B11-INT(7*(B11+INT((B12+9)/12))/4)+INT(275*B12/9)+B13+(B14+B15/60)/24-730531.5+(-B7+B8)/24</f>
        <v>7305.229861111147</v>
      </c>
    </row>
    <row r="19" spans="1:2" ht="12.75" customHeight="1">
      <c r="A19" s="3" t="s">
        <v>6</v>
      </c>
      <c r="B19" s="5">
        <f>B18/36525</f>
        <v>0.20000629325424085</v>
      </c>
    </row>
    <row r="20" spans="1:2" ht="12.75" customHeight="1">
      <c r="A20" s="3" t="s">
        <v>8</v>
      </c>
      <c r="B20" s="5">
        <f>MOD(280.46061837+360.98564736629*B18+B5,360)</f>
        <v>1.674524463713169</v>
      </c>
    </row>
    <row r="21" ht="12.75" customHeight="1">
      <c r="E21" s="23"/>
    </row>
    <row r="22" ht="12.75" customHeight="1">
      <c r="A22" s="2" t="s">
        <v>54</v>
      </c>
    </row>
    <row r="23" spans="1:10" ht="12.75" customHeight="1">
      <c r="A23" s="2"/>
      <c r="B23" s="10" t="s">
        <v>46</v>
      </c>
      <c r="C23" s="10" t="s">
        <v>47</v>
      </c>
      <c r="D23" s="10" t="s">
        <v>55</v>
      </c>
      <c r="E23" s="10" t="s">
        <v>48</v>
      </c>
      <c r="F23" s="10" t="s">
        <v>49</v>
      </c>
      <c r="G23" s="10" t="s">
        <v>50</v>
      </c>
      <c r="H23" s="10" t="s">
        <v>51</v>
      </c>
      <c r="I23" s="10" t="s">
        <v>52</v>
      </c>
      <c r="J23" s="10" t="s">
        <v>53</v>
      </c>
    </row>
    <row r="24" spans="1:10" ht="12.75" customHeight="1">
      <c r="A24" s="3" t="s">
        <v>56</v>
      </c>
      <c r="B24" s="4">
        <f>0.38709893+0.00000066*$B$19</f>
        <v>0.38709906200415356</v>
      </c>
      <c r="C24" s="4">
        <f>0.72333199+0.00000092*$B$19</f>
        <v>0.7233321740057899</v>
      </c>
      <c r="D24" s="4">
        <f>1.00000011-0.00000005*$B$19</f>
        <v>1.0000000999996854</v>
      </c>
      <c r="E24" s="4">
        <f>1.52366231+0.00007221*$B$19</f>
        <v>1.523676752454436</v>
      </c>
      <c r="F24" s="4">
        <f>5.20336301+0.00060737*$B$19</f>
        <v>5.203484487822334</v>
      </c>
      <c r="G24" s="4">
        <f>9.53707032-0.0030153*$B$19</f>
        <v>9.536467241023951</v>
      </c>
      <c r="H24" s="4">
        <f>19.19126393+0.00152025*$B$19</f>
        <v>19.19156798956732</v>
      </c>
      <c r="I24" s="4">
        <f>30.06896348-0.00125196*$B$19</f>
        <v>30.0687130801211</v>
      </c>
      <c r="J24" s="4">
        <f>39.481686773-0.00076912*$B$19</f>
        <v>39.48153294415973</v>
      </c>
    </row>
    <row r="25" spans="1:10" ht="12.75" customHeight="1">
      <c r="A25" s="3" t="s">
        <v>57</v>
      </c>
      <c r="B25" s="4">
        <f>0.20563069+0.00002527*$B$19</f>
        <v>0.20563574415903055</v>
      </c>
      <c r="C25" s="4">
        <f>0.00677323-0.00004938*$B$19</f>
        <v>0.006763353689239106</v>
      </c>
      <c r="D25" s="4">
        <f>0.01671022-0.00003804*$B$19</f>
        <v>0.01670261176060461</v>
      </c>
      <c r="E25" s="4">
        <f>0.09341233+0.00011902*$B$19</f>
        <v>0.09343613474902313</v>
      </c>
      <c r="F25" s="4">
        <f>0.04839266-0.0001288*$B$19</f>
        <v>0.04836689918942886</v>
      </c>
      <c r="G25" s="4">
        <f>0.0541506-0.00036762*$B$19</f>
        <v>0.054077073686473874</v>
      </c>
      <c r="H25" s="4">
        <f>0.04716771-0.0001915*$B$19</f>
        <v>0.047129408794841815</v>
      </c>
      <c r="I25" s="4">
        <f>0.00858587+0.00002514*$B$19</f>
        <v>0.008590898158212412</v>
      </c>
      <c r="J25" s="4">
        <f>0.24880766+0.00006465*$B$19</f>
        <v>0.2488205904068589</v>
      </c>
    </row>
    <row r="26" spans="1:10" ht="12.75" customHeight="1">
      <c r="A26" s="3" t="s">
        <v>58</v>
      </c>
      <c r="B26" s="4">
        <f>7.00487-23.51*$B$19/3600</f>
        <v>7.003563847790443</v>
      </c>
      <c r="C26" s="4">
        <f>3.39471-2.86*$B$19/3600</f>
        <v>3.39455110611147</v>
      </c>
      <c r="D26" s="4">
        <f>0.00005-46.94*$B$19/3600</f>
        <v>-0.0025578598348205733</v>
      </c>
      <c r="E26" s="4">
        <f>1.85061-25.47*$B$19/3600</f>
        <v>1.8491949554752263</v>
      </c>
      <c r="F26" s="4">
        <f>1.3053-4.15*$B$19/3600</f>
        <v>1.3050694371897207</v>
      </c>
      <c r="G26" s="4">
        <f>2.48446+6.11*$B$19/3600</f>
        <v>2.4847994551254953</v>
      </c>
      <c r="H26" s="4">
        <f>0.76986-2.09*$B$19/3600</f>
        <v>0.7697438852353052</v>
      </c>
      <c r="I26" s="4">
        <f>1.76917-3.64*$B$19/3600</f>
        <v>1.7689677714145984</v>
      </c>
      <c r="J26" s="4">
        <f>17.14175+11.07*$B$19/3600</f>
        <v>17.142365019351754</v>
      </c>
    </row>
    <row r="27" spans="1:10" ht="12.75" customHeight="1">
      <c r="A27" s="3" t="s">
        <v>59</v>
      </c>
      <c r="B27" s="4">
        <f>48.33167-446.3*$B$19/3600</f>
        <v>48.30687477536684</v>
      </c>
      <c r="C27" s="4">
        <f>76.68069-996.89*$B$19/3600</f>
        <v>76.62530547953271</v>
      </c>
      <c r="D27" s="4">
        <f>-11.26064-18228.25*$B$19/3600</f>
        <v>-12.27335242083656</v>
      </c>
      <c r="E27" s="4">
        <f>49.57854-1020.19*$B$19/3600</f>
        <v>49.52186099435693</v>
      </c>
      <c r="F27" s="4">
        <f>100.55615+1217.17*$B$19/3600</f>
        <v>100.6237726833223</v>
      </c>
      <c r="G27" s="4">
        <f>113.71504-1591.05*$B$19/3600</f>
        <v>113.62664555197718</v>
      </c>
      <c r="H27" s="4">
        <f>74.22988+1681.4*$B$19/3600</f>
        <v>74.32329405041047</v>
      </c>
      <c r="I27" s="4">
        <f>131.72169-151.25*$B$19/3600</f>
        <v>131.71328695781813</v>
      </c>
      <c r="J27" s="4">
        <f>110.30347-37.33*$B$19/3600</f>
        <v>110.30139604585356</v>
      </c>
    </row>
    <row r="28" spans="1:10" ht="12.75" customHeight="1">
      <c r="A28" s="3" t="s">
        <v>60</v>
      </c>
      <c r="B28" s="4">
        <f>77.45645+573.57*$B$19/3600</f>
        <v>77.48831600267273</v>
      </c>
      <c r="C28" s="4">
        <f>131.53298-108.8*$B$19/3600</f>
        <v>131.52693536535944</v>
      </c>
      <c r="D28" s="4">
        <f>102.94719+1198.28*$B$19/3600</f>
        <v>103.01376320585575</v>
      </c>
      <c r="E28" s="4">
        <f>336.04084+1560.78*$B$19/3600</f>
        <v>336.1275527284404</v>
      </c>
      <c r="F28" s="4">
        <f>14.75385+839.93*$B$19/3600</f>
        <v>14.800514246081399</v>
      </c>
      <c r="G28" s="4">
        <f>92.43194-1948.89*$B$19/3600</f>
        <v>92.32366492642771</v>
      </c>
      <c r="H28" s="4">
        <f>170.96424+1312.56*$B$19/3600</f>
        <v>171.0371622945205</v>
      </c>
      <c r="I28" s="4">
        <f>44.97135-844.43*$B$19/3600</f>
        <v>44.92443574605203</v>
      </c>
      <c r="J28" s="4">
        <f>224.06676-132.25*$B$19/3600</f>
        <v>224.05941254658808</v>
      </c>
    </row>
    <row r="29" spans="1:10" ht="12.75" customHeight="1">
      <c r="A29" s="3" t="s">
        <v>61</v>
      </c>
      <c r="B29" s="4">
        <f>MOD(252.25084+149472.674525*$B$19,360)</f>
        <v>267.72641454284894</v>
      </c>
      <c r="C29" s="4">
        <f>MOD(181.97973+58517.8155722222*$B$19,360)</f>
        <v>5.911111935454755</v>
      </c>
      <c r="D29" s="4">
        <f>MOD(100.46435+35999.3723972222*$B$19,360)</f>
        <v>100.56538264744722</v>
      </c>
      <c r="E29" s="4">
        <f>MOD(355.45332+19140.3066055556*$B$19,360)</f>
        <v>223.63509592683658</v>
      </c>
      <c r="F29" s="4">
        <f>MOD(34.40438+3034.74398611111*$B$19,360)</f>
        <v>281.3722756376826</v>
      </c>
      <c r="G29" s="4">
        <f>MOD(49.94432+1222.51470833333*$B$19,360)</f>
        <v>294.4549552625387</v>
      </c>
      <c r="H29" s="4">
        <f>MOD(313.23218+428.48549722222*$B$19,360)</f>
        <v>38.93197601261659</v>
      </c>
      <c r="I29" s="4">
        <f>MOD(304.88003+218.45811388889*$B$19,360)</f>
        <v>348.5730275902297</v>
      </c>
      <c r="J29" s="4">
        <f>MOD(238.92881+145.20775*$B$19,360)</f>
        <v>267.9712738292885</v>
      </c>
    </row>
    <row r="30" spans="1:10" ht="12.75" customHeight="1">
      <c r="A30" s="2" t="s">
        <v>62</v>
      </c>
      <c r="B30" s="4">
        <f>DEGREES(B31)</f>
        <v>190.23809854017622</v>
      </c>
      <c r="C30" s="4">
        <f>DEGREES(C31)</f>
        <v>234.38417657009532</v>
      </c>
      <c r="D30" s="4">
        <f>DEGREES(D31)</f>
        <v>357.55161944159147</v>
      </c>
      <c r="E30" s="4">
        <f>DEGREES(E31)</f>
        <v>247.50754319839618</v>
      </c>
      <c r="F30" s="4">
        <f>DEGREES(F31)</f>
        <v>266.5717613916013</v>
      </c>
      <c r="G30" s="4">
        <f>DEGREES(G31)</f>
        <v>202.13129033611096</v>
      </c>
      <c r="H30" s="4">
        <f>DEGREES(H31)</f>
        <v>227.8948137180961</v>
      </c>
      <c r="I30" s="4">
        <f>DEGREES(I31)</f>
        <v>303.64859184417764</v>
      </c>
      <c r="J30" s="4"/>
    </row>
    <row r="31" spans="1:10" ht="12.75" customHeight="1">
      <c r="A31" s="3" t="s">
        <v>63</v>
      </c>
      <c r="B31" s="4">
        <f>RADIANS(MOD(B29-B28,360))</f>
        <v>3.3202811822594933</v>
      </c>
      <c r="C31" s="4">
        <f>RADIANS(MOD(C29-C28,360))</f>
        <v>4.090775595723913</v>
      </c>
      <c r="D31" s="4">
        <f>RADIANS(MOD(D29-D28,360))</f>
        <v>6.24045300509354</v>
      </c>
      <c r="E31" s="4">
        <f>RADIANS(MOD(E29-E28,360))</f>
        <v>4.31982155233411</v>
      </c>
      <c r="F31" s="4">
        <f>RADIANS(MOD(F29-F28,360))</f>
        <v>4.652554929124143</v>
      </c>
      <c r="G31" s="4">
        <f>RADIANS(MOD(G29-G28,360))</f>
        <v>3.527856537669732</v>
      </c>
      <c r="H31" s="4">
        <f>RADIANS(MOD(H29-H28,360))</f>
        <v>3.977514847599917</v>
      </c>
      <c r="I31" s="4">
        <f>RADIANS(MOD(I29-I28,360))</f>
        <v>5.2996676967253</v>
      </c>
      <c r="J31" s="4">
        <f>RADIANS(MOD(J29-J28,360))</f>
        <v>0.7664065600621432</v>
      </c>
    </row>
    <row r="32" spans="1:10" ht="12.75" customHeight="1">
      <c r="A32" s="3" t="s">
        <v>64</v>
      </c>
      <c r="B32" s="4">
        <f>B31+(2*B25-0.25*B25^3+5/96*B25^5)*SIN(B31)+(1.25*B25^2-11/24*B25^4)*SIN(2*B31)+(13/12*B25^3-43/64*B25^5)*SIN(3*B31)+103/96*B25^4*SIN(4*B31)+1097/960*B25^5*SIN(5*B31)</f>
        <v>3.2620137686762782</v>
      </c>
      <c r="C32" s="4">
        <f>C31+(2*C25-0.25*C25^3+5/96*C25^5)*SIN(C31)+(1.25*C25^2-11/24*C25^4)*SIN(2*C31)+(13/12*C25^3-43/64*C25^5)*SIN(3*C31)+103/96*C25^4*SIN(4*C31)+1097/960*C25^5*SIN(5*C31)</f>
        <v>4.079833296523799</v>
      </c>
      <c r="D32" s="4">
        <f>D31+(2*D25-0.25*D25^3+5/96*D25^5)*SIN(D31)+(1.25*D25^2-11/24*D25^4)*SIN(2*D31)+(13/12*D25^3-43/64*D25^5)*SIN(3*D31)+103/96*D25^4*SIN(4*D31)+1097/960*D25^5*SIN(5*D31)</f>
        <v>6.238995583350847</v>
      </c>
      <c r="E32" s="4">
        <f>E31+(2*E25-0.25*E25^3+5/96*E25^5)*SIN(E31)+(1.25*E25^2-11/24*E25^4)*SIN(2*E31)+(13/12*E25^3-43/64*E25^5)*SIN(3*E31)+103/96*E25^4*SIN(4*E31)+1097/960*E25^5*SIN(5*E31)</f>
        <v>4.15530060216423</v>
      </c>
      <c r="F32" s="4">
        <f>F31+(2*F25-0.25*F25^3+5/96*F25^5)*SIN(F31)+(1.25*F25^2-11/24*F25^4)*SIN(2*F31)+(13/12*F25^3-43/64*F25^5)*SIN(3*F31)+103/96*F25^4*SIN(4*F31)+1097/960*F25^5*SIN(5*F31)</f>
        <v>4.556490010521162</v>
      </c>
      <c r="G32" s="4">
        <f>G31+(2*G25-0.25*G25^3+5/96*G25^5)*SIN(G31)+(1.25*G25^2-11/24*G25^4)*SIN(2*G31)+(13/12*G25^3-43/64*G25^5)*SIN(3*G31)+103/96*G25^4*SIN(4*G31)+1097/960*G25^5*SIN(5*G31)</f>
        <v>3.4895270207091786</v>
      </c>
      <c r="H32" s="4">
        <f>H31+(2*H25-0.25*H25^3+5/96*H25^5)*SIN(H31)+(1.25*H25^2-11/24*H25^4)*SIN(2*H31)+(13/12*H25^3-43/64*H25^5)*SIN(3*H31)+103/96*H25^4*SIN(4*H31)+1097/960*H25^5*SIN(5*H31)</f>
        <v>3.9102943698750807</v>
      </c>
      <c r="I32" s="4">
        <f>I31+(2*I25-0.25*I25^3+5/96*I25^5)*SIN(I31)+(1.25*I25^2-11/24*I25^4)*SIN(2*I31)+(13/12*I25^3-43/64*I25^5)*SIN(3*I31)+103/96*I25^4*SIN(4*I31)+1097/960*I25^5*SIN(5*I31)</f>
        <v>5.285279584192346</v>
      </c>
      <c r="J32" s="4">
        <f>J31+(2*J25-0.25*J25^3+5/96*J25^5)*SIN(J31)+(1.25*J25^2-11/24*J25^4)*SIN(2*J31)+(13/12*J25^3-43/64*J25^5)*SIN(3*J31)+103/96*J25^4*SIN(4*J31)+1097/960*J25^5*SIN(5*J31)</f>
        <v>1.1960810758038722</v>
      </c>
    </row>
    <row r="33" spans="1:10" ht="12.75" customHeight="1">
      <c r="A33" s="24" t="s">
        <v>65</v>
      </c>
      <c r="B33" s="4">
        <f>DEGREES(B32)</f>
        <v>186.89962165871478</v>
      </c>
      <c r="C33" s="4">
        <f>DEGREES(C32)</f>
        <v>233.7572290077594</v>
      </c>
      <c r="D33" s="4">
        <f>DEGREES(D32)</f>
        <v>357.4681153267645</v>
      </c>
      <c r="E33" s="4">
        <f>DEGREES(E32)</f>
        <v>238.08118711217992</v>
      </c>
      <c r="F33" s="4">
        <f>DEGREES(F32)</f>
        <v>261.0676469963827</v>
      </c>
      <c r="G33" s="4">
        <f>DEGREES(G32)</f>
        <v>199.93517078349618</v>
      </c>
      <c r="H33" s="4">
        <f>DEGREES(H32)</f>
        <v>224.04336404760977</v>
      </c>
      <c r="I33" s="4">
        <f>DEGREES(I32)</f>
        <v>302.8242137208801</v>
      </c>
      <c r="J33" s="4">
        <f>DEGREES(J32)</f>
        <v>68.53039759902896</v>
      </c>
    </row>
    <row r="34" spans="1:10" ht="12.75" customHeight="1">
      <c r="A34" s="3" t="s">
        <v>66</v>
      </c>
      <c r="B34" s="4">
        <f>B24*(1-B25^2)/(1+B25*COS(B32))</f>
        <v>0.46582718439457776</v>
      </c>
      <c r="C34" s="4">
        <f>C24*(1-C25^2)/(1+C25*COS(C32))</f>
        <v>0.726202843652933</v>
      </c>
      <c r="D34" s="4">
        <f>D24*(1-D25^2)/(1+D25*COS(D32))</f>
        <v>0.9833132562984539</v>
      </c>
      <c r="E34" s="4">
        <f>E24*(1-E25^2)/(1+E25*COS(E32))</f>
        <v>1.5888666231123822</v>
      </c>
      <c r="F34" s="4">
        <f>F24*(1-F25^2)/(1+F25*COS(F32))</f>
        <v>5.230592608517545</v>
      </c>
      <c r="G34" s="4">
        <f>G24*(1-G25^2)/(1+G25*COS(G32))</f>
        <v>10.017854339375102</v>
      </c>
      <c r="H34" s="4">
        <f>H24*(1-H25^2)/(1+H25*COS(H32))</f>
        <v>19.82040115244403</v>
      </c>
      <c r="I34" s="4">
        <f>I24*(1-I25^2)/(1+I25*COS(I32))</f>
        <v>29.927128907705143</v>
      </c>
      <c r="J34" s="4">
        <f>J24*(1-J25^2)/(1+J25*COS(J32))</f>
        <v>33.94572057839402</v>
      </c>
    </row>
    <row r="35" spans="1:10" ht="12.75" customHeight="1">
      <c r="A35" s="7" t="s">
        <v>67</v>
      </c>
      <c r="B35" s="4">
        <f>DEGREES(B31)</f>
        <v>190.23809854017622</v>
      </c>
      <c r="C35" s="4">
        <f>DEGREES(C31)</f>
        <v>234.38417657009532</v>
      </c>
      <c r="D35" s="4">
        <f>DEGREES(D31)</f>
        <v>357.55161944159147</v>
      </c>
      <c r="E35" s="4"/>
      <c r="F35" s="4"/>
      <c r="G35" s="4"/>
      <c r="H35" s="4"/>
      <c r="I35" s="4"/>
      <c r="J35" s="4"/>
    </row>
    <row r="36" spans="1:10" ht="12.75" customHeight="1">
      <c r="A36" s="3" t="s">
        <v>68</v>
      </c>
      <c r="B36" s="4">
        <f>*(B34-COS(RADIANS(B27))*COS(B32+RADIANS((B28-B27)))*COS(RADIANS(SIN(RADIANS(B27))*SIN(B32+RADIANS(B28-B27))/#REF!)))</f>
        <v>-0.04708287223862788</v>
      </c>
      <c r="C36" s="4">
        <f>*(C34-COS(RADIANS(C27))*COS(C32+RADIANS((C28-C27)))*COS(RADIANS(SIN(RADIANS(C27))*SIN(C32+RADIANS(C28-C27))/#REF!)))</f>
        <v>0.7219421800351873</v>
      </c>
      <c r="D36" s="4">
        <f>*(D34-COS(RADIANS(D27))*COS(D32+RADIANS((D28-D27)))*COS(RADIANS(SIN(RADIANS(D27))*SIN(D32+RADIANS(D28-D27))/#REF!)))</f>
        <v>-0.1788888053700813</v>
      </c>
      <c r="E36" s="4">
        <f>*(E34-COS(RADIANS(E27))*COS(E32+RADIANS((E28-E27)))*COS(RADIANS(SIN(RADIANS(E27))*SIN(E32+RADIANS(E28-E27))/#REF!)))</f>
        <v>-1.3138182541881143</v>
      </c>
      <c r="F36" s="4">
        <f>*(F34-COS(RADIANS(F27))*COS(F32+RADIANS((F28-F27)))*COS(RADIANS(SIN(RADIANS(F27))*SIN(F32+RADIANS(F28-F27))/#REF!)))</f>
        <v>0.5348851635753467</v>
      </c>
      <c r="G36" s="4">
        <f>*(G34-COS(RADIANS(G27))*COS(G32+RADIANS((G28-G27)))*COS(RADIANS(SIN(RADIANS(G27))*SIN(G32+RADIANS(G28-G27))/#REF!)))</f>
        <v>3.794882488545297</v>
      </c>
      <c r="H36" s="4">
        <f>*(H34-COS(RADIANS(H27))*COS(H32+RADIANS((H28-H27)))*COS(RADIANS(SIN(RADIANS(H27))*SIN(H32+RADIANS(H28-H27))/#REF!)))</f>
        <v>16.21883879776596</v>
      </c>
      <c r="I36" s="4">
        <f>*(I34-COS(RADIANS(I27))*COS(I32+RADIANS((I28-I27)))*COS(RADIANS(SIN(RADIANS(I27))*SIN(I32+RADIANS(I28-I27))/#REF!)))</f>
        <v>29.23930831701594</v>
      </c>
      <c r="J36" s="4">
        <f>*(J34-COS(RADIANS(J27))*COS(J32+RADIANS((J28-J27)))*COS(RADIANS(SIN(RADIANS(J27))*SIN(J32+RADIANS(J28-J27))/#REF!)))</f>
        <v>12.983133296438918</v>
      </c>
    </row>
    <row r="37" spans="1:10" ht="12.75" customHeight="1">
      <c r="A37" s="3" t="s">
        <v>69</v>
      </c>
      <c r="B37" s="4">
        <f>B34*(SIN(RADIANS(B27))*COS(B32+RADIANS((B28-B27)))+COS(RADIANS(B27))*SIN(B32+RADIANS(B28-B27))*COS(RADIANS(B26)))</f>
        <v>-0.46223287859362155</v>
      </c>
      <c r="C37" s="4">
        <f>C34*(SIN(RADIANS(C27))*COS(C32+RADIANS((C28-C27)))+COS(RADIANS(C27))*SIN(C32+RADIANS(C28-C27))*COS(RADIANS(C26)))</f>
        <v>0.06715917094022922</v>
      </c>
      <c r="D37" s="4">
        <f>D34*(SIN(RADIANS(D27))*COS(D32+RADIANS((D28-D27)))+COS(RADIANS(D27))*SIN(D32+RADIANS(D28-D27))*COS(RADIANS(D26)))</f>
        <v>0.9669042112261144</v>
      </c>
      <c r="E37" s="4">
        <f>E34*(SIN(RADIANS(E27))*COS(E32+RADIANS((E28-E27)))+COS(RADIANS(E27))*SIN(E32+RADIANS(E28-E27))*COS(RADIANS(E26)))</f>
        <v>-0.8934178190408136</v>
      </c>
      <c r="F37" s="4">
        <f>F34*(SIN(RADIANS(F27))*COS(F32+RADIANS((F28-F27)))+COS(RADIANS(F27))*SIN(F32+RADIANS(F28-F27))*COS(RADIANS(F26)))</f>
        <v>-5.203162437404641</v>
      </c>
      <c r="G37" s="4">
        <f>G34*(SIN(RADIANS(G27))*COS(G32+RADIANS((G28-G27)))+COS(RADIANS(G27))*SIN(G32+RADIANS(G28-G27))*COS(RADIANS(G26)))</f>
        <v>-9.271254768393012</v>
      </c>
      <c r="H37" s="4">
        <f>H34*(SIN(RADIANS(H27))*COS(H32+RADIANS((H28-H27)))+COS(RADIANS(H27))*SIN(H32+RADIANS(H28-H27))*COS(RADIANS(H26)))</f>
        <v>11.391628341695464</v>
      </c>
      <c r="I37" s="4">
        <f>I34*(SIN(RADIANS(I27))*COS(I32+RADIANS((I28-I27)))+COS(RADIANS(I27))*SIN(I32+RADIANS(I28-I27))*COS(RADIANS(I26)))</f>
        <v>-6.356140901780992</v>
      </c>
      <c r="J37" s="4">
        <f>J34*(SIN(RADIANS(J27))*COS(J32+RADIANS((J28-J27)))+COS(RADIANS(J27))*SIN(J32+RADIANS(J28-J27))*COS(RADIANS(J26)))</f>
        <v>-31.36224776347784</v>
      </c>
    </row>
    <row r="38" spans="1:10" ht="12.75" customHeight="1">
      <c r="A38" s="3" t="s">
        <v>70</v>
      </c>
      <c r="B38" s="4">
        <f>B34*(SIN(B32+RADIANS(B28-B27))*SIN(RADIANS(B26)))</f>
        <v>-0.03345048295309521</v>
      </c>
      <c r="C38" s="4">
        <f>C34*(SIN(C32+RADIANS(C28-C27))*SIN(RADIANS(C26)))</f>
        <v>-0.04073947194390779</v>
      </c>
      <c r="D38" s="4">
        <f>D34*(SIN(D32+RADIANS(D28-D27))*SIN(RADIANS(D26)))</f>
        <v>-4.048134658869821E-05</v>
      </c>
      <c r="E38" s="4">
        <f>E34*(SIN(E32+RADIANS(E28-E27))*SIN(RADIANS(E26)))</f>
        <v>0.013540370120364725</v>
      </c>
      <c r="F38" s="4">
        <f>F34*(SIN(F32+RADIANS(F28-F27))*SIN(RADIANS(F26)))</f>
        <v>0.009876641471294167</v>
      </c>
      <c r="G38" s="4">
        <f>G34*(SIN(G32+RADIANS(G28-G27))*SIN(RADIANS(G26)))</f>
        <v>0.010367382440123998</v>
      </c>
      <c r="H38" s="4">
        <f>H34*(SIN(H32+RADIANS(H28-H27))*SIN(RADIANS(H26)))</f>
        <v>-0.16844471071235934</v>
      </c>
      <c r="I38" s="4">
        <f>I34*(SIN(I32+RADIANS(I28-I27))*SIN(RADIANS(I26)))</f>
        <v>-0.5434764370143149</v>
      </c>
      <c r="J38" s="4">
        <f>J34*(SIN(J32+RADIANS(J28-J27))*SIN(RADIANS(J26)))</f>
        <v>-0.39951297292001603</v>
      </c>
    </row>
    <row r="39" spans="1:10" ht="12.75" customHeight="1">
      <c r="A39" s="2" t="s">
        <v>71</v>
      </c>
      <c r="B39" s="4"/>
      <c r="C39" s="4"/>
      <c r="D39" s="4"/>
      <c r="E39" s="4"/>
      <c r="F39" s="4"/>
      <c r="G39" s="4"/>
      <c r="H39" s="4"/>
      <c r="I39" s="4"/>
      <c r="J39" s="4"/>
    </row>
    <row r="40" spans="1:10" ht="12.75" customHeight="1">
      <c r="A40" s="3" t="s">
        <v>72</v>
      </c>
      <c r="B40" s="4">
        <f aca="true" t="shared" si="0" ref="B40:B42">B36-$D36</f>
        <v>0.13180593313145345</v>
      </c>
      <c r="C40" s="4">
        <f aca="true" t="shared" si="1" ref="C40:C42">C36-$D36</f>
        <v>0.9008309854052686</v>
      </c>
      <c r="D40" s="4">
        <f aca="true" t="shared" si="2" ref="D40:D42">D36-$D36</f>
        <v>0</v>
      </c>
      <c r="E40" s="4">
        <f aca="true" t="shared" si="3" ref="E40:E42">E36-$D36</f>
        <v>-1.134929448818033</v>
      </c>
      <c r="F40" s="4">
        <f aca="true" t="shared" si="4" ref="F40:F42">F36-$D36</f>
        <v>0.713773968945428</v>
      </c>
      <c r="G40" s="4">
        <f aca="true" t="shared" si="5" ref="G40:G42">G36-$D36</f>
        <v>3.9737712939153784</v>
      </c>
      <c r="H40" s="4">
        <f aca="true" t="shared" si="6" ref="H40:H42">H36-$D36</f>
        <v>16.397727603136044</v>
      </c>
      <c r="I40" s="4">
        <f aca="true" t="shared" si="7" ref="I40:I42">I36-$D36</f>
        <v>29.418197122386022</v>
      </c>
      <c r="J40" s="4">
        <f aca="true" t="shared" si="8" ref="J40:J42">J36-$D36</f>
        <v>13.162022101808999</v>
      </c>
    </row>
    <row r="41" spans="1:10" ht="12.75" customHeight="1">
      <c r="A41" s="3" t="s">
        <v>73</v>
      </c>
      <c r="B41" s="4">
        <f t="shared" si="0"/>
        <v>-1.429137089819736</v>
      </c>
      <c r="C41" s="4">
        <f t="shared" si="1"/>
        <v>-0.8997450402858851</v>
      </c>
      <c r="D41" s="4">
        <f t="shared" si="2"/>
        <v>0</v>
      </c>
      <c r="E41" s="4">
        <f t="shared" si="3"/>
        <v>-1.860322030266928</v>
      </c>
      <c r="F41" s="4">
        <f t="shared" si="4"/>
        <v>-6.170066648630756</v>
      </c>
      <c r="G41" s="4">
        <f t="shared" si="5"/>
        <v>-10.238158979619126</v>
      </c>
      <c r="H41" s="4">
        <f t="shared" si="6"/>
        <v>10.42472413046935</v>
      </c>
      <c r="I41" s="4">
        <f t="shared" si="7"/>
        <v>-7.323045113007106</v>
      </c>
      <c r="J41" s="4">
        <f t="shared" si="8"/>
        <v>-32.329151974703954</v>
      </c>
    </row>
    <row r="42" spans="1:10" ht="12.75" customHeight="1">
      <c r="A42" s="3" t="s">
        <v>74</v>
      </c>
      <c r="B42" s="4">
        <f t="shared" si="0"/>
        <v>-0.03341000160650651</v>
      </c>
      <c r="C42" s="4">
        <f t="shared" si="1"/>
        <v>-0.040698990597319094</v>
      </c>
      <c r="D42" s="4">
        <f t="shared" si="2"/>
        <v>0</v>
      </c>
      <c r="E42" s="4">
        <f t="shared" si="3"/>
        <v>0.013580851466953424</v>
      </c>
      <c r="F42" s="4">
        <f t="shared" si="4"/>
        <v>0.009917122817882866</v>
      </c>
      <c r="G42" s="4">
        <f t="shared" si="5"/>
        <v>0.010407863786712697</v>
      </c>
      <c r="H42" s="4">
        <f t="shared" si="6"/>
        <v>-0.16840422936577062</v>
      </c>
      <c r="I42" s="4">
        <f t="shared" si="7"/>
        <v>-0.5434359556677262</v>
      </c>
      <c r="J42" s="4">
        <f t="shared" si="8"/>
        <v>-0.39947249157342735</v>
      </c>
    </row>
    <row r="43" spans="1:10" ht="12.75" customHeight="1">
      <c r="A43" s="2" t="s">
        <v>75</v>
      </c>
      <c r="B43" s="4"/>
      <c r="C43" s="4"/>
      <c r="D43" s="4"/>
      <c r="E43" s="4"/>
      <c r="F43" s="4"/>
      <c r="G43" s="4"/>
      <c r="H43" s="4"/>
      <c r="I43" s="4"/>
      <c r="J43" s="4"/>
    </row>
    <row r="44" spans="2:10" ht="12.75" customHeight="1">
      <c r="B44" s="4"/>
      <c r="C44" s="25" t="s">
        <v>76</v>
      </c>
      <c r="D44" s="25" t="s">
        <v>20</v>
      </c>
      <c r="E44" s="25" t="s">
        <v>21</v>
      </c>
      <c r="F44" s="4"/>
      <c r="G44" s="4"/>
      <c r="H44" s="4"/>
      <c r="I44" s="4"/>
      <c r="J44" s="4"/>
    </row>
    <row r="45" spans="1:10" ht="12.75" customHeight="1">
      <c r="A45" s="3" t="s">
        <v>77</v>
      </c>
      <c r="B45" s="4">
        <v>23.439292</v>
      </c>
      <c r="C45" s="4">
        <f>RADIANS(B45)</f>
        <v>0.40909281973636663</v>
      </c>
      <c r="D45" s="4">
        <f>SIN(C45)</f>
        <v>0.39777717016576497</v>
      </c>
      <c r="E45" s="4">
        <f>COS(C45)</f>
        <v>0.9174820558980519</v>
      </c>
      <c r="F45" s="4"/>
      <c r="G45" s="4"/>
      <c r="H45" s="4"/>
      <c r="I45" s="4"/>
      <c r="J45" s="4"/>
    </row>
    <row r="46" spans="1:10" ht="12.75" customHeight="1">
      <c r="A46" s="3"/>
      <c r="B46" s="4"/>
      <c r="C46" s="4"/>
      <c r="D46" s="4"/>
      <c r="E46" s="4"/>
      <c r="F46" s="4"/>
      <c r="G46" s="4"/>
      <c r="H46" s="4"/>
      <c r="I46" s="4"/>
      <c r="J46" s="4"/>
    </row>
    <row r="47" spans="1:10" ht="12.75" customHeight="1">
      <c r="A47" s="3" t="s">
        <v>78</v>
      </c>
      <c r="B47" s="4">
        <f>B40</f>
        <v>0.13180593313145345</v>
      </c>
      <c r="C47" s="4">
        <f>C40</f>
        <v>0.9008309854052686</v>
      </c>
      <c r="D47" s="4"/>
      <c r="E47" s="4">
        <f>E40</f>
        <v>-1.134929448818033</v>
      </c>
      <c r="F47" s="4">
        <f>F40</f>
        <v>0.713773968945428</v>
      </c>
      <c r="G47" s="4">
        <f>G40</f>
        <v>3.9737712939153784</v>
      </c>
      <c r="H47" s="4">
        <f>H40</f>
        <v>16.397727603136044</v>
      </c>
      <c r="I47" s="4">
        <f>I40</f>
        <v>29.418197122386022</v>
      </c>
      <c r="J47" s="4">
        <f>J40</f>
        <v>13.162022101808999</v>
      </c>
    </row>
    <row r="48" spans="1:10" ht="12.75" customHeight="1">
      <c r="A48" s="3" t="s">
        <v>79</v>
      </c>
      <c r="B48" s="4">
        <f>B41*$E$45-B42*$D$45</f>
        <v>-1.2979178994337004</v>
      </c>
      <c r="C48" s="4">
        <f>C41*$E$45-C42*$D$45</f>
        <v>-0.8093108000371647</v>
      </c>
      <c r="D48" s="4"/>
      <c r="E48" s="4">
        <f>E41*$E$45-E42*$D$45</f>
        <v>-1.7122142336267054</v>
      </c>
      <c r="F48" s="4">
        <f>F41*$E$45-F42*$D$45</f>
        <v>-5.664870238864432</v>
      </c>
      <c r="G48" s="4">
        <f>G41*$E$45-G42*$D$45</f>
        <v>-9.397467159836607</v>
      </c>
      <c r="H48" s="4">
        <f>H41*$E$45-H42*$D$45</f>
        <v>9.631484685194113</v>
      </c>
      <c r="I48" s="4">
        <f>I41*$E$45-I42*$D$45</f>
        <v>-6.502596069104105</v>
      </c>
      <c r="J48" s="4">
        <f>J41*$E$45-J42*$D$45</f>
        <v>-29.502515781934804</v>
      </c>
    </row>
    <row r="49" spans="1:10" ht="12.75" customHeight="1">
      <c r="A49" s="3" t="s">
        <v>80</v>
      </c>
      <c r="B49" s="4">
        <f>B41*$D$45+B42*$E$45</f>
        <v>-0.599131184328926</v>
      </c>
      <c r="C49" s="4">
        <f>C41*$D$45+C42*$E$45</f>
        <v>-0.39523862956180533</v>
      </c>
      <c r="D49" s="4"/>
      <c r="E49" s="4">
        <f>E41*$D$45+E42*$E$45</f>
        <v>-0.7275334452718627</v>
      </c>
      <c r="F49" s="4">
        <f>F41*$D$45+F42*$E$45</f>
        <v>-2.4452128689949624</v>
      </c>
      <c r="G49" s="4">
        <f>G41*$D$45+G42*$E$45</f>
        <v>-4.062956878355572</v>
      </c>
      <c r="H49" s="4">
        <f>H41*$D$45+H42*$E$45</f>
        <v>3.992209405796429</v>
      </c>
      <c r="I49" s="4">
        <f>I41*$D$45+I42*$E$45</f>
        <v>-3.4115328999031496</v>
      </c>
      <c r="J49" s="4">
        <f>J41*$D$45+J42*$E$45</f>
        <v>-13.226307429200196</v>
      </c>
    </row>
    <row r="50" spans="1:10" ht="12.75" customHeight="1">
      <c r="A50" s="3" t="s">
        <v>81</v>
      </c>
      <c r="B50" s="4">
        <f>ATAN(B49/SQRT(B47^2+B48^2))</f>
        <v>-0.43051746659823026</v>
      </c>
      <c r="C50" s="4">
        <f>ATAN(C49/SQRT(C47^2+C48^2))</f>
        <v>-0.31547799984182884</v>
      </c>
      <c r="D50" s="4"/>
      <c r="E50" s="4">
        <f>ATAN(E49/SQRT(E47^2+E48^2))</f>
        <v>-0.3403836105339351</v>
      </c>
      <c r="F50" s="4">
        <f>ATAN(F49/SQRT(F47^2+F48^2))</f>
        <v>-0.4046276871708129</v>
      </c>
      <c r="G50" s="4">
        <f>ATAN(G49/SQRT(G47^2+G48^2))</f>
        <v>-0.3789606698710085</v>
      </c>
      <c r="H50" s="4">
        <f>ATAN(H49/SQRT(H47^2+H48^2))</f>
        <v>0.206922368309072</v>
      </c>
      <c r="I50" s="4">
        <f>ATAN(I49/SQRT(I47^2+I48^2))</f>
        <v>-0.11275326092257108</v>
      </c>
      <c r="J50" s="4">
        <f>ATAN(J49/SQRT(J47^2+J48^2))</f>
        <v>-0.38859637497978217</v>
      </c>
    </row>
    <row r="51" spans="1:10" ht="12.75" customHeight="1">
      <c r="A51" s="3" t="s">
        <v>82</v>
      </c>
      <c r="B51" s="4">
        <f>IF(B47&lt;0,PI()+ATAN(B48/B47),IF(B48&lt;0,2*PI()+ATAN(B48/B47),ATAN(B48/B47)))</f>
        <v>4.813593857358433</v>
      </c>
      <c r="C51" s="4">
        <f>IF(C47&lt;0,PI()+ATAN(C48/C47),IF(C48&lt;0,2*PI()+ATAN(C48/C47),ATAN(C48/C47)))</f>
        <v>5.551252280652018</v>
      </c>
      <c r="D51" s="4"/>
      <c r="E51" s="4">
        <f>IF(E47&lt;0,PI()+ATAN(E48/E47),IF(E48&lt;0,2*PI()+ATAN(E48/E47),ATAN(E48/E47)))</f>
        <v>4.127038111195591</v>
      </c>
      <c r="F51" s="4">
        <f>IF(F47&lt;0,PI()+ATAN(F48/F47),IF(F48&lt;0,2*PI()+ATAN(F48/F47),ATAN(F48/F47)))</f>
        <v>4.8377285242350885</v>
      </c>
      <c r="G51" s="4">
        <f>IF(G47&lt;0,PI()+ATAN(G48/G47),IF(G48&lt;0,2*PI()+ATAN(G48/G47),ATAN(G48/G47)))</f>
        <v>5.112441871627201</v>
      </c>
      <c r="H51" s="4">
        <f>IF(H47&lt;0,PI()+ATAN(H48/H47),IF(H48&lt;0,2*PI()+ATAN(H48/H47),ATAN(H48/H47)))</f>
        <v>0.5310787681460593</v>
      </c>
      <c r="I51" s="4">
        <f>IF(I47&lt;0,PI()+ATAN(I48/I47),IF(I48&lt;0,2*PI()+ATAN(I48/I47),ATAN(I48/I47)))</f>
        <v>6.065643303219124</v>
      </c>
      <c r="J51" s="4">
        <f>IF(J47&lt;0,PI()+ATAN(J48/J47),IF(J48&lt;0,2*PI()+ATAN(J48/J47),ATAN(J48/J47)))</f>
        <v>5.1320217848779315</v>
      </c>
    </row>
    <row r="52" spans="1:10" ht="12.75" customHeight="1">
      <c r="A52" s="3" t="s">
        <v>83</v>
      </c>
      <c r="B52" s="4">
        <f>DEGREES(B50)</f>
        <v>-24.666833842742985</v>
      </c>
      <c r="C52" s="4">
        <f>DEGREES(C50)</f>
        <v>-18.075557920165643</v>
      </c>
      <c r="D52" s="4"/>
      <c r="E52" s="4">
        <f>DEGREES(E50)</f>
        <v>-19.50254429901923</v>
      </c>
      <c r="F52" s="4">
        <f>DEGREES(F50)</f>
        <v>-23.183458749027345</v>
      </c>
      <c r="G52" s="4">
        <f>DEGREES(G50)</f>
        <v>-21.712846985059283</v>
      </c>
      <c r="H52" s="4">
        <f>DEGREES(H50)</f>
        <v>11.855778390961403</v>
      </c>
      <c r="I52" s="4">
        <f>DEGREES(I50)</f>
        <v>-6.460285977200674</v>
      </c>
      <c r="J52" s="4">
        <f>DEGREES(J50)</f>
        <v>-22.264932220424658</v>
      </c>
    </row>
    <row r="53" spans="1:10" ht="12.75" customHeight="1">
      <c r="A53" s="3" t="s">
        <v>84</v>
      </c>
      <c r="B53" s="4">
        <f>DEGREES(B51)/15</f>
        <v>18.38657415444908</v>
      </c>
      <c r="C53" s="4">
        <f>DEGREES(C51)/15</f>
        <v>21.204221779582227</v>
      </c>
      <c r="D53" s="4"/>
      <c r="E53" s="4">
        <f>DEGREES(E51)/15</f>
        <v>15.76412437741002</v>
      </c>
      <c r="F53" s="4">
        <f>DEGREES(F51)/15</f>
        <v>18.478761791248186</v>
      </c>
      <c r="G53" s="4">
        <f>DEGREES(G51)/15</f>
        <v>19.5280894833468</v>
      </c>
      <c r="H53" s="4">
        <f>DEGREES(H51)/15</f>
        <v>2.0285714669183985</v>
      </c>
      <c r="I53" s="4">
        <f>DEGREES(I51)/15</f>
        <v>23.16905075374982</v>
      </c>
      <c r="J53" s="4">
        <f>DEGREES(J51)/15</f>
        <v>19.602879242846747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6"/>
  <sheetViews>
    <sheetView workbookViewId="0" topLeftCell="A1">
      <selection activeCell="B1" sqref="B1"/>
    </sheetView>
  </sheetViews>
  <sheetFormatPr defaultColWidth="11.421875" defaultRowHeight="12.75" customHeight="1"/>
  <cols>
    <col min="1" max="1" width="21.8515625" style="0" customWidth="1"/>
    <col min="2" max="2" width="12.57421875" style="0" customWidth="1"/>
    <col min="3" max="4" width="10.57421875" style="0" customWidth="1"/>
    <col min="5" max="5" width="9.57421875" style="0" customWidth="1"/>
    <col min="6" max="6" width="11.140625" style="0" customWidth="1"/>
    <col min="7" max="10" width="10.57421875" style="0" customWidth="1"/>
    <col min="11" max="64" width="9.00390625" style="0" customWidth="1"/>
  </cols>
  <sheetData>
    <row r="1" ht="18" customHeight="1">
      <c r="A1" s="1" t="s">
        <v>40</v>
      </c>
    </row>
    <row r="2" ht="12.75" customHeight="1">
      <c r="A2" s="14" t="s">
        <v>41</v>
      </c>
    </row>
    <row r="3" ht="12.75" customHeight="1">
      <c r="A3" s="14" t="s">
        <v>85</v>
      </c>
    </row>
    <row r="4" ht="12.75" customHeight="1">
      <c r="A4" s="14" t="s">
        <v>86</v>
      </c>
    </row>
    <row r="6" spans="1:4" ht="12.75" customHeight="1">
      <c r="A6" s="2" t="s">
        <v>1</v>
      </c>
      <c r="D6" s="2" t="s">
        <v>42</v>
      </c>
    </row>
    <row r="7" spans="1:7" ht="12.75" customHeight="1">
      <c r="A7" s="3" t="s">
        <v>3</v>
      </c>
      <c r="B7" s="4">
        <f>-(1+55/60)</f>
        <v>-1.9166666666666665</v>
      </c>
      <c r="D7" s="16"/>
      <c r="E7" s="17" t="s">
        <v>43</v>
      </c>
      <c r="F7" s="18" t="s">
        <v>44</v>
      </c>
      <c r="G7" s="19" t="s">
        <v>45</v>
      </c>
    </row>
    <row r="8" spans="1:7" ht="12.75" customHeight="1">
      <c r="A8" s="3" t="s">
        <v>5</v>
      </c>
      <c r="B8" s="4">
        <v>52.5</v>
      </c>
      <c r="D8" s="20" t="s">
        <v>46</v>
      </c>
      <c r="E8" s="26">
        <f aca="true" t="shared" si="0" ref="E8:E9">CONCATENATE(TEXT(INT(G66),"00"),":",TEXT(INT(60*(G66-INT(G66))),"00"),":",TEXT((G66-INT(G66)-INT(60*(G66-INT(G66)))/60)*3600,"00"))</f>
        <v>0</v>
      </c>
      <c r="F8" s="27">
        <f aca="true" t="shared" si="1" ref="F8:F9">CONCATENATE(TEXT(INT(ABS(H66)),"00"),":",TEXT(INT(60*(ABS(H66)-INT(ABS(H66)))),"00"),":",TEXT((ABS(H66)-INT(ABS(H66))-INT(60*(ABS(H66)-INT(ABS(H66))))/60)*3600,"00"),IF(H66&lt;0,"s","n"))</f>
        <v>0</v>
      </c>
      <c r="G8" s="4">
        <f aca="true" t="shared" si="2" ref="G8:G9">E66</f>
        <v>1.4357048772983807</v>
      </c>
    </row>
    <row r="9" spans="1:7" ht="12.75" customHeight="1">
      <c r="A9" s="3" t="s">
        <v>7</v>
      </c>
      <c r="B9" s="6">
        <v>0</v>
      </c>
      <c r="D9" s="20" t="s">
        <v>47</v>
      </c>
      <c r="E9" s="26">
        <f t="shared" si="0"/>
        <v>0</v>
      </c>
      <c r="F9" s="27">
        <f t="shared" si="1"/>
        <v>0</v>
      </c>
      <c r="G9" s="4">
        <f t="shared" si="2"/>
        <v>1.2736879332418396</v>
      </c>
    </row>
    <row r="10" spans="1:7" ht="12.75" customHeight="1">
      <c r="A10" s="3" t="s">
        <v>9</v>
      </c>
      <c r="B10" s="6">
        <v>0</v>
      </c>
      <c r="D10" s="20" t="s">
        <v>48</v>
      </c>
      <c r="E10" s="26">
        <f aca="true" t="shared" si="3" ref="E10:E15">CONCATENATE(TEXT(INT(G69),"00"),":",TEXT(INT(60*(G69-INT(G69))),"00"),":",TEXT((G69-INT(G69)-INT(60*(G69-INT(G69)))/60)*3600,"00"))</f>
        <v>0</v>
      </c>
      <c r="F10" s="27">
        <f aca="true" t="shared" si="4" ref="F10:F15">CONCATENATE(TEXT(INT(ABS(H69)),"00"),":",TEXT(INT(60*(ABS(H69)-INT(ABS(H69)))),"00"),":",TEXT((ABS(H69)-INT(ABS(H69))-INT(60*(ABS(H69)-INT(ABS(H69))))/60)*3600,"00"),IF(H69&lt;0,"s","n"))</f>
        <v>0</v>
      </c>
      <c r="G10" s="4">
        <f aca="true" t="shared" si="5" ref="G10:G15">E69</f>
        <v>2.178541017374234</v>
      </c>
    </row>
    <row r="11" spans="1:7" ht="12.75" customHeight="1">
      <c r="A11" s="3"/>
      <c r="B11" s="6"/>
      <c r="D11" s="20" t="s">
        <v>49</v>
      </c>
      <c r="E11" s="26">
        <f t="shared" si="3"/>
        <v>0</v>
      </c>
      <c r="F11" s="27">
        <f t="shared" si="4"/>
        <v>0</v>
      </c>
      <c r="G11" s="4">
        <f t="shared" si="5"/>
        <v>6.210116376445319</v>
      </c>
    </row>
    <row r="12" spans="1:7" ht="12.75" customHeight="1">
      <c r="A12" s="7" t="s">
        <v>10</v>
      </c>
      <c r="B12" s="4"/>
      <c r="D12" s="20" t="s">
        <v>50</v>
      </c>
      <c r="E12" s="26">
        <f t="shared" si="3"/>
        <v>0</v>
      </c>
      <c r="F12" s="27">
        <f t="shared" si="4"/>
        <v>0</v>
      </c>
      <c r="G12" s="4">
        <f t="shared" si="5"/>
        <v>11.070288649669036</v>
      </c>
    </row>
    <row r="13" spans="1:7" ht="12.75" customHeight="1">
      <c r="A13" s="3" t="s">
        <v>11</v>
      </c>
      <c r="B13" s="8">
        <v>2020</v>
      </c>
      <c r="D13" s="20" t="s">
        <v>51</v>
      </c>
      <c r="E13" s="26">
        <f t="shared" si="3"/>
        <v>0</v>
      </c>
      <c r="F13" s="27">
        <f t="shared" si="4"/>
        <v>0</v>
      </c>
      <c r="G13" s="4">
        <f t="shared" si="5"/>
        <v>19.383619105076377</v>
      </c>
    </row>
    <row r="14" spans="1:7" ht="12.75" customHeight="1">
      <c r="A14" s="3" t="s">
        <v>12</v>
      </c>
      <c r="B14" s="9">
        <v>1</v>
      </c>
      <c r="D14" s="20" t="s">
        <v>52</v>
      </c>
      <c r="E14" s="26">
        <f t="shared" si="3"/>
        <v>0</v>
      </c>
      <c r="F14" s="27">
        <f t="shared" si="4"/>
        <v>0</v>
      </c>
      <c r="G14" s="4">
        <f t="shared" si="5"/>
        <v>30.298510922475625</v>
      </c>
    </row>
    <row r="15" spans="1:7" ht="12.75" customHeight="1">
      <c r="A15" s="3" t="s">
        <v>13</v>
      </c>
      <c r="B15" s="9">
        <v>1</v>
      </c>
      <c r="D15" s="20" t="s">
        <v>53</v>
      </c>
      <c r="E15" s="26">
        <f t="shared" si="3"/>
        <v>0</v>
      </c>
      <c r="F15" s="27">
        <f t="shared" si="4"/>
        <v>0</v>
      </c>
      <c r="G15" s="4">
        <f t="shared" si="5"/>
        <v>34.93061288671744</v>
      </c>
    </row>
    <row r="16" spans="1:2" ht="12.75" customHeight="1">
      <c r="A16" s="3" t="s">
        <v>14</v>
      </c>
      <c r="B16" s="9">
        <v>17</v>
      </c>
    </row>
    <row r="17" spans="1:5" ht="12.75" customHeight="1">
      <c r="A17" s="3" t="s">
        <v>15</v>
      </c>
      <c r="B17" s="9">
        <v>36</v>
      </c>
      <c r="E17" s="4"/>
    </row>
    <row r="18" spans="4:6" ht="12.75" customHeight="1">
      <c r="D18" s="28"/>
      <c r="E18" s="29"/>
      <c r="F18" s="28"/>
    </row>
    <row r="19" spans="1:5" ht="12.75" customHeight="1">
      <c r="A19" s="2" t="s">
        <v>2</v>
      </c>
      <c r="E19" s="8"/>
    </row>
    <row r="20" spans="1:5" ht="12.75" customHeight="1">
      <c r="A20" s="3" t="s">
        <v>4</v>
      </c>
      <c r="B20" s="5">
        <f>367*B13-INT(7*(B13+INT((B14+9)/12))/4)+INT(275*B14/9)+B15+(B16+B17/60)/24-730531.5+(-B9+B10)/24</f>
        <v>7305.233333333279</v>
      </c>
      <c r="E20" s="8"/>
    </row>
    <row r="21" spans="1:2" ht="12.75" customHeight="1">
      <c r="A21" s="3" t="s">
        <v>6</v>
      </c>
      <c r="B21" s="5">
        <f>B20/36525</f>
        <v>0.20000638831850182</v>
      </c>
    </row>
    <row r="22" spans="1:2" ht="12.75" customHeight="1">
      <c r="A22" s="3" t="s">
        <v>8</v>
      </c>
      <c r="B22" s="5">
        <f>MOD(280.46061837+360.98564736629*B20+B7,360)</f>
        <v>2.927946818061173</v>
      </c>
    </row>
    <row r="23" ht="12.75" customHeight="1">
      <c r="E23" s="23"/>
    </row>
    <row r="24" spans="1:6" ht="12.75" customHeight="1">
      <c r="A24" s="2" t="s">
        <v>87</v>
      </c>
      <c r="B24" s="3" t="s">
        <v>88</v>
      </c>
      <c r="C24" s="3" t="s">
        <v>89</v>
      </c>
      <c r="D24" s="3" t="s">
        <v>90</v>
      </c>
      <c r="E24" s="3" t="s">
        <v>91</v>
      </c>
      <c r="F24" t="s">
        <v>92</v>
      </c>
    </row>
    <row r="25" spans="1:6" ht="12.75" customHeight="1">
      <c r="A25" s="24" t="s">
        <v>93</v>
      </c>
      <c r="B25">
        <v>2003</v>
      </c>
      <c r="C25">
        <v>7</v>
      </c>
      <c r="D25">
        <v>30</v>
      </c>
      <c r="E25">
        <f>367*B25-INT(7*(B25+INT((C25+9)/12))/4)+INT(275*C25/9)+D25-730531.5</f>
        <v>1305.5</v>
      </c>
      <c r="F25" s="12">
        <f>B20-E25</f>
        <v>5999.733333333279</v>
      </c>
    </row>
    <row r="26" ht="12.75" customHeight="1">
      <c r="A26" s="2"/>
    </row>
    <row r="27" spans="1:8" ht="12.75" customHeight="1">
      <c r="A27" s="30" t="s">
        <v>94</v>
      </c>
      <c r="B27" s="19" t="s">
        <v>58</v>
      </c>
      <c r="C27" s="19" t="s">
        <v>95</v>
      </c>
      <c r="D27" s="19" t="s">
        <v>96</v>
      </c>
      <c r="E27" s="19" t="s">
        <v>56</v>
      </c>
      <c r="F27" s="19" t="s">
        <v>97</v>
      </c>
      <c r="G27" s="19" t="s">
        <v>57</v>
      </c>
      <c r="H27" s="19" t="s">
        <v>98</v>
      </c>
    </row>
    <row r="28" spans="1:8" ht="12.75" customHeight="1">
      <c r="A28" s="31" t="s">
        <v>46</v>
      </c>
      <c r="B28" s="32">
        <v>7.00502</v>
      </c>
      <c r="C28" s="32">
        <v>48.37336</v>
      </c>
      <c r="D28" s="32">
        <v>77.51167</v>
      </c>
      <c r="E28" s="33">
        <v>0.38709699999999997</v>
      </c>
      <c r="F28" s="34">
        <v>4.0923671</v>
      </c>
      <c r="G28" s="34">
        <v>0.20563689999999998</v>
      </c>
      <c r="H28" s="32">
        <v>117.33903</v>
      </c>
    </row>
    <row r="29" spans="1:8" ht="12.75" customHeight="1">
      <c r="A29" s="31" t="s">
        <v>47</v>
      </c>
      <c r="B29" s="32">
        <v>3.39472</v>
      </c>
      <c r="C29" s="32">
        <v>76.71161</v>
      </c>
      <c r="D29" s="32">
        <v>131.60374</v>
      </c>
      <c r="E29" s="33">
        <v>0.723331</v>
      </c>
      <c r="F29" s="34">
        <v>1.6021334</v>
      </c>
      <c r="G29" s="34">
        <v>0.0067367</v>
      </c>
      <c r="H29" s="32">
        <v>342.0067</v>
      </c>
    </row>
    <row r="30" spans="1:8" ht="12.75" customHeight="1">
      <c r="A30" s="20" t="s">
        <v>55</v>
      </c>
      <c r="B30" s="32">
        <v>7.000000000000001E-05</v>
      </c>
      <c r="C30" s="32">
        <v>243.36859</v>
      </c>
      <c r="D30" s="32">
        <v>102.9925</v>
      </c>
      <c r="E30" s="33">
        <v>1</v>
      </c>
      <c r="F30" s="34">
        <v>0.9856096</v>
      </c>
      <c r="G30" s="34">
        <v>0.0167123</v>
      </c>
      <c r="H30" s="32">
        <v>204.23538</v>
      </c>
    </row>
    <row r="31" spans="1:8" ht="12.75" customHeight="1">
      <c r="A31" s="20" t="s">
        <v>48</v>
      </c>
      <c r="B31" s="32">
        <v>1.84957</v>
      </c>
      <c r="C31" s="32">
        <v>49.58266</v>
      </c>
      <c r="D31" s="32">
        <v>336.10284</v>
      </c>
      <c r="E31" s="33">
        <v>1.523701</v>
      </c>
      <c r="F31" s="34">
        <v>0.5240279</v>
      </c>
      <c r="G31" s="34">
        <v>0.0935572</v>
      </c>
      <c r="H31" s="32">
        <v>343.51593</v>
      </c>
    </row>
    <row r="32" spans="1:8" ht="12.75" customHeight="1">
      <c r="A32" s="20" t="s">
        <v>49</v>
      </c>
      <c r="B32" s="32">
        <v>1.3036400000000001</v>
      </c>
      <c r="C32" s="32">
        <v>100.54118</v>
      </c>
      <c r="D32" s="32">
        <v>14.885580000000001</v>
      </c>
      <c r="E32" s="33">
        <v>5.202056</v>
      </c>
      <c r="F32" s="34">
        <v>0.08310909999999999</v>
      </c>
      <c r="G32" s="34">
        <v>0.0489507</v>
      </c>
      <c r="H32" s="32">
        <v>127.96583</v>
      </c>
    </row>
    <row r="33" spans="1:8" ht="12.75" customHeight="1">
      <c r="A33" s="20" t="s">
        <v>50</v>
      </c>
      <c r="B33" s="32">
        <v>2.48551</v>
      </c>
      <c r="C33" s="32">
        <v>113.66668</v>
      </c>
      <c r="D33" s="32">
        <v>93.84391</v>
      </c>
      <c r="E33" s="33">
        <v>9.581040999999999</v>
      </c>
      <c r="F33" s="34">
        <v>0.0332389</v>
      </c>
      <c r="G33" s="34">
        <v>0.0574197</v>
      </c>
      <c r="H33" s="32">
        <v>0.10457000000000001</v>
      </c>
    </row>
    <row r="34" spans="1:8" ht="12.75" customHeight="1">
      <c r="A34" s="20" t="s">
        <v>51</v>
      </c>
      <c r="B34" s="32">
        <v>0.7718700000000001</v>
      </c>
      <c r="C34" s="32">
        <v>73.86906</v>
      </c>
      <c r="D34" s="32">
        <v>169.43754</v>
      </c>
      <c r="E34" s="33">
        <v>19.130024</v>
      </c>
      <c r="F34" s="34">
        <v>0.0117799</v>
      </c>
      <c r="G34" s="34">
        <v>0.049931699999999996</v>
      </c>
      <c r="H34" s="32">
        <v>159.211</v>
      </c>
    </row>
    <row r="35" spans="1:8" ht="12.75" customHeight="1">
      <c r="A35" s="20" t="s">
        <v>52</v>
      </c>
      <c r="B35" s="32">
        <v>1.77101</v>
      </c>
      <c r="C35" s="32">
        <v>131.82616</v>
      </c>
      <c r="D35" s="32">
        <v>69.44961</v>
      </c>
      <c r="E35" s="33">
        <v>29.947586</v>
      </c>
      <c r="F35" s="34">
        <v>0.0060141</v>
      </c>
      <c r="G35" s="34">
        <v>0.009595099999999999</v>
      </c>
      <c r="H35" s="32">
        <v>243.28084</v>
      </c>
    </row>
    <row r="36" spans="1:8" ht="12.75" customHeight="1">
      <c r="A36" s="20" t="s">
        <v>53</v>
      </c>
      <c r="B36" s="32">
        <v>17.16704</v>
      </c>
      <c r="C36" s="32">
        <v>110.28895</v>
      </c>
      <c r="D36" s="32">
        <v>223.5414</v>
      </c>
      <c r="E36" s="33">
        <v>39.446486</v>
      </c>
      <c r="F36" s="34">
        <v>0.0039781999999999994</v>
      </c>
      <c r="G36" s="34">
        <v>0.2491465</v>
      </c>
      <c r="H36" s="32">
        <v>20.38981</v>
      </c>
    </row>
    <row r="37" spans="1:8" ht="12.75" customHeight="1">
      <c r="A37" s="35"/>
      <c r="B37" s="32"/>
      <c r="C37" s="32"/>
      <c r="D37" s="32"/>
      <c r="E37" s="33"/>
      <c r="F37" s="34"/>
      <c r="G37" s="34"/>
      <c r="H37" s="32"/>
    </row>
    <row r="38" spans="1:8" ht="12.75" customHeight="1">
      <c r="A38" s="36" t="s">
        <v>99</v>
      </c>
      <c r="B38" s="32"/>
      <c r="C38" s="32"/>
      <c r="D38" s="32"/>
      <c r="E38" s="33"/>
      <c r="F38" s="34"/>
      <c r="G38" s="34"/>
      <c r="H38" s="32"/>
    </row>
    <row r="39" spans="1:10" ht="12.75" customHeight="1">
      <c r="A39" s="37"/>
      <c r="B39" s="38" t="s">
        <v>100</v>
      </c>
      <c r="C39" s="38" t="s">
        <v>101</v>
      </c>
      <c r="D39" s="38" t="s">
        <v>102</v>
      </c>
      <c r="E39" s="38" t="s">
        <v>29</v>
      </c>
      <c r="F39" s="38" t="s">
        <v>28</v>
      </c>
      <c r="G39" s="38" t="s">
        <v>103</v>
      </c>
      <c r="H39" s="4"/>
      <c r="I39" s="4"/>
      <c r="J39" s="4"/>
    </row>
    <row r="40" spans="1:10" ht="12.75" customHeight="1">
      <c r="A40" s="31" t="s">
        <v>46</v>
      </c>
      <c r="B40" s="4">
        <f aca="true" t="shared" si="6" ref="B40:B48">MOD(H28+$F$25*F28,360)</f>
        <v>190.45033210644033</v>
      </c>
      <c r="C40" s="4">
        <f aca="true" t="shared" si="7" ref="C40:C48">DEGREES(RADIANS(B40)+(2*G28-0.25*G28^3+5/96*G28^5)*SIN(RADIANS(B40))+(1.25*G28^2-11/24*G28^4)*SIN(2*RADIANS(B40))+(13/12*G28^3-43/64*G28^5)*SIN(3*RADIANS(B40))+103/96*G28^4*SIN(4*RADIANS(B40))+1097/960*G28^5*SIN(5*RADIANS(B40)))</f>
        <v>187.04302826632772</v>
      </c>
      <c r="D40" s="4">
        <f aca="true" t="shared" si="8" ref="D40:D48">E28*(1-G28^2)/(1+G28*COS(RADIANS(C40)))</f>
        <v>0.46578858190231737</v>
      </c>
      <c r="E40" s="4">
        <f aca="true" t="shared" si="9" ref="E40:E48">D40*(COS(RADIANS(C40+D28-C28))*COS(RADIANS(C28))-SIN(RADIANS(C40+D28-C28))*COS(RADIANS(B28))*SIN(RADIANS(C28)))</f>
        <v>-0.045735477698298645</v>
      </c>
      <c r="F40" s="4">
        <f aca="true" t="shared" si="10" ref="F40:F48">D40*(COS(RADIANS(C40+D28-C28))*SIN(RADIANS(C28))+SIN(RADIANS(C40+D28-C28))*COS(RADIANS(B28))*COS(RADIANS(C28)))</f>
        <v>-0.4623231313241381</v>
      </c>
      <c r="G40" s="4">
        <f aca="true" t="shared" si="11" ref="G40:G48">D40*SIN(RADIANS(C40+D28-C28))*SIN(RADIANS(B28))</f>
        <v>-0.03353492735826294</v>
      </c>
      <c r="H40" s="4"/>
      <c r="I40" s="4"/>
      <c r="J40" s="4"/>
    </row>
    <row r="41" spans="1:10" ht="12.75" customHeight="1">
      <c r="A41" s="31" t="s">
        <v>47</v>
      </c>
      <c r="B41" s="4">
        <f t="shared" si="6"/>
        <v>234.37986442657893</v>
      </c>
      <c r="C41" s="4">
        <f t="shared" si="7"/>
        <v>233.755409430479</v>
      </c>
      <c r="D41" s="4">
        <f t="shared" si="8"/>
        <v>0.7261905629530052</v>
      </c>
      <c r="E41" s="4">
        <f t="shared" si="9"/>
        <v>0.7218412109291367</v>
      </c>
      <c r="F41" s="4">
        <f t="shared" si="10"/>
        <v>0.06810260729576655</v>
      </c>
      <c r="G41" s="4">
        <f t="shared" si="11"/>
        <v>-0.04074352471103619</v>
      </c>
      <c r="H41" s="4"/>
      <c r="I41" s="4"/>
      <c r="J41" s="4"/>
    </row>
    <row r="42" spans="1:10" ht="12.75" customHeight="1">
      <c r="A42" s="20" t="s">
        <v>55</v>
      </c>
      <c r="B42" s="4">
        <f t="shared" si="6"/>
        <v>357.63015077327964</v>
      </c>
      <c r="C42" s="4">
        <f t="shared" si="7"/>
        <v>357.5492755018945</v>
      </c>
      <c r="D42" s="4">
        <f t="shared" si="8"/>
        <v>0.9833024833476692</v>
      </c>
      <c r="E42" s="4">
        <f t="shared" si="9"/>
        <v>-0.17989753731769315</v>
      </c>
      <c r="F42" s="4">
        <f t="shared" si="10"/>
        <v>0.9667060824388121</v>
      </c>
      <c r="G42" s="4">
        <f t="shared" si="11"/>
        <v>-7.258755163512275E-07</v>
      </c>
      <c r="H42" s="4"/>
      <c r="I42" s="4"/>
      <c r="J42" s="4"/>
    </row>
    <row r="43" spans="1:10" ht="12.75" customHeight="1">
      <c r="A43" s="20" t="s">
        <v>48</v>
      </c>
      <c r="B43" s="4">
        <f t="shared" si="6"/>
        <v>247.54358922663823</v>
      </c>
      <c r="C43" s="4">
        <f t="shared" si="7"/>
        <v>238.102602557673</v>
      </c>
      <c r="D43" s="4">
        <f t="shared" si="8"/>
        <v>1.5889129939134377</v>
      </c>
      <c r="E43" s="4">
        <f t="shared" si="9"/>
        <v>-1.3139071058741634</v>
      </c>
      <c r="F43" s="4">
        <f t="shared" si="10"/>
        <v>-0.8933687318484778</v>
      </c>
      <c r="G43" s="4">
        <f t="shared" si="11"/>
        <v>0.01359883508934227</v>
      </c>
      <c r="H43" s="4"/>
      <c r="I43" s="4"/>
      <c r="J43" s="4"/>
    </row>
    <row r="44" spans="1:10" ht="12.75" customHeight="1">
      <c r="A44" s="20" t="s">
        <v>49</v>
      </c>
      <c r="B44" s="4">
        <f t="shared" si="6"/>
        <v>266.5982675733288</v>
      </c>
      <c r="C44" s="4">
        <f t="shared" si="7"/>
        <v>261.0278564810523</v>
      </c>
      <c r="D44" s="4">
        <f t="shared" si="8"/>
        <v>5.229513453068126</v>
      </c>
      <c r="E44" s="4">
        <f t="shared" si="9"/>
        <v>0.5388821860247808</v>
      </c>
      <c r="F44" s="4">
        <f t="shared" si="10"/>
        <v>-5.2016655795566695</v>
      </c>
      <c r="G44" s="4">
        <f t="shared" si="11"/>
        <v>0.009599159393085754</v>
      </c>
      <c r="H44" s="4"/>
      <c r="I44" s="4"/>
      <c r="J44" s="4"/>
    </row>
    <row r="45" spans="1:10" ht="12.75" customHeight="1">
      <c r="A45" s="20" t="s">
        <v>50</v>
      </c>
      <c r="B45" s="4">
        <f t="shared" si="6"/>
        <v>199.52910629333152</v>
      </c>
      <c r="C45" s="4">
        <f t="shared" si="7"/>
        <v>197.4696893523308</v>
      </c>
      <c r="D45" s="4">
        <f t="shared" si="8"/>
        <v>10.102794987682495</v>
      </c>
      <c r="E45" s="4">
        <f t="shared" si="9"/>
        <v>3.672444151387696</v>
      </c>
      <c r="F45" s="4">
        <f t="shared" si="10"/>
        <v>-9.411657502209433</v>
      </c>
      <c r="G45" s="4">
        <f t="shared" si="11"/>
        <v>0.017988306917901545</v>
      </c>
      <c r="H45" s="4"/>
      <c r="I45" s="4"/>
      <c r="J45" s="4"/>
    </row>
    <row r="46" spans="1:10" ht="12.75" customHeight="1">
      <c r="A46" s="20" t="s">
        <v>51</v>
      </c>
      <c r="B46" s="4">
        <f t="shared" si="6"/>
        <v>229.88725869333268</v>
      </c>
      <c r="C46" s="4">
        <f t="shared" si="7"/>
        <v>225.68455312420025</v>
      </c>
      <c r="D46" s="4">
        <f t="shared" si="8"/>
        <v>19.772031255684016</v>
      </c>
      <c r="E46" s="4">
        <f t="shared" si="9"/>
        <v>16.17101799924387</v>
      </c>
      <c r="F46" s="4">
        <f t="shared" si="10"/>
        <v>11.375570571195544</v>
      </c>
      <c r="G46" s="4">
        <f t="shared" si="11"/>
        <v>-0.16670639947648705</v>
      </c>
      <c r="H46" s="4"/>
      <c r="I46" s="4"/>
      <c r="J46" s="4"/>
    </row>
    <row r="47" spans="1:10" ht="12.75" customHeight="1">
      <c r="A47" s="20" t="s">
        <v>52</v>
      </c>
      <c r="B47" s="4">
        <f t="shared" si="6"/>
        <v>279.36383623999967</v>
      </c>
      <c r="C47" s="4">
        <f t="shared" si="7"/>
        <v>278.2769139693461</v>
      </c>
      <c r="D47" s="4">
        <f t="shared" si="8"/>
        <v>29.903523515704443</v>
      </c>
      <c r="E47" s="4">
        <f t="shared" si="9"/>
        <v>29.213809726342966</v>
      </c>
      <c r="F47" s="4">
        <f t="shared" si="10"/>
        <v>-6.362418655804378</v>
      </c>
      <c r="G47" s="4">
        <f t="shared" si="11"/>
        <v>-0.5419121474833948</v>
      </c>
      <c r="H47" s="4"/>
      <c r="I47" s="4"/>
      <c r="J47" s="4"/>
    </row>
    <row r="48" spans="1:10" ht="12.75" customHeight="1">
      <c r="A48" s="20" t="s">
        <v>53</v>
      </c>
      <c r="B48" s="4">
        <f t="shared" si="6"/>
        <v>44.25794914666645</v>
      </c>
      <c r="C48" s="4">
        <f t="shared" si="7"/>
        <v>69.02154424406224</v>
      </c>
      <c r="D48" s="4">
        <f t="shared" si="8"/>
        <v>33.96798699627753</v>
      </c>
      <c r="E48" s="4">
        <f t="shared" si="9"/>
        <v>12.97713330505202</v>
      </c>
      <c r="F48" s="4">
        <f t="shared" si="10"/>
        <v>-31.388849890676877</v>
      </c>
      <c r="G48" s="4">
        <f t="shared" si="11"/>
        <v>-0.3978118936676945</v>
      </c>
      <c r="H48" s="4"/>
      <c r="I48" s="4"/>
      <c r="J48" s="4"/>
    </row>
    <row r="49" spans="1:10" ht="12.75" customHeight="1">
      <c r="A49" s="3"/>
      <c r="B49" s="4"/>
      <c r="C49" s="4"/>
      <c r="D49" s="4"/>
      <c r="E49" s="4"/>
      <c r="F49" s="4"/>
      <c r="G49" s="4"/>
      <c r="H49" s="4"/>
      <c r="I49" s="4"/>
      <c r="J49" s="4"/>
    </row>
    <row r="50" spans="1:10" ht="12.75" customHeight="1">
      <c r="A50" s="39" t="s">
        <v>104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2.75" customHeight="1">
      <c r="A51" s="3"/>
      <c r="B51" s="4"/>
      <c r="C51" s="4"/>
      <c r="D51" s="4"/>
      <c r="E51" s="4"/>
      <c r="F51" s="4"/>
      <c r="G51" s="4"/>
      <c r="H51" s="4"/>
      <c r="I51" s="4"/>
      <c r="J51" s="4"/>
    </row>
    <row r="52" spans="1:10" ht="12.75" customHeight="1">
      <c r="A52" s="16"/>
      <c r="B52" s="19" t="s">
        <v>29</v>
      </c>
      <c r="C52" s="38" t="s">
        <v>28</v>
      </c>
      <c r="D52" s="38" t="s">
        <v>103</v>
      </c>
      <c r="E52" s="40"/>
      <c r="F52" s="4"/>
      <c r="G52" s="4"/>
      <c r="H52" s="4"/>
      <c r="I52" s="4"/>
      <c r="J52" s="4"/>
    </row>
    <row r="53" spans="1:10" ht="12.75" customHeight="1">
      <c r="A53" s="31" t="s">
        <v>46</v>
      </c>
      <c r="B53" s="4">
        <f aca="true" t="shared" si="12" ref="B53:B61">E40-E$42</f>
        <v>0.1341620596193945</v>
      </c>
      <c r="C53" s="4">
        <f aca="true" t="shared" si="13" ref="C53:C61">F40-F$42</f>
        <v>-1.4290292137629501</v>
      </c>
      <c r="D53" s="4">
        <f aca="true" t="shared" si="14" ref="D53:D61">G40-G$42</f>
        <v>-0.033534201482746585</v>
      </c>
      <c r="E53" s="25"/>
      <c r="F53" s="4"/>
      <c r="G53" s="4"/>
      <c r="H53" s="4"/>
      <c r="I53" s="4"/>
      <c r="J53" s="4"/>
    </row>
    <row r="54" spans="1:10" ht="12.75" customHeight="1">
      <c r="A54" s="31" t="s">
        <v>47</v>
      </c>
      <c r="B54" s="4">
        <f t="shared" si="12"/>
        <v>0.9017387482468298</v>
      </c>
      <c r="C54" s="4">
        <f t="shared" si="13"/>
        <v>-0.8986034751430455</v>
      </c>
      <c r="D54" s="4">
        <f t="shared" si="14"/>
        <v>-0.04074279883551984</v>
      </c>
      <c r="E54" s="4"/>
      <c r="F54" s="4"/>
      <c r="G54" s="4"/>
      <c r="H54" s="4"/>
      <c r="I54" s="4"/>
      <c r="J54" s="4"/>
    </row>
    <row r="55" spans="1:10" ht="12.75" customHeight="1">
      <c r="A55" s="20" t="s">
        <v>55</v>
      </c>
      <c r="B55" s="4">
        <f t="shared" si="12"/>
        <v>0</v>
      </c>
      <c r="C55" s="4">
        <f t="shared" si="13"/>
        <v>0</v>
      </c>
      <c r="D55" s="4">
        <f t="shared" si="14"/>
        <v>0</v>
      </c>
      <c r="E55" s="4"/>
      <c r="F55" s="4"/>
      <c r="G55" s="4"/>
      <c r="H55" s="4"/>
      <c r="I55" s="4"/>
      <c r="J55" s="4"/>
    </row>
    <row r="56" spans="1:10" ht="12.75" customHeight="1">
      <c r="A56" s="20" t="s">
        <v>48</v>
      </c>
      <c r="B56" s="4">
        <f t="shared" si="12"/>
        <v>-1.1340095685564702</v>
      </c>
      <c r="C56" s="4">
        <f t="shared" si="13"/>
        <v>-1.8600748142872898</v>
      </c>
      <c r="D56" s="4">
        <f t="shared" si="14"/>
        <v>0.01359956096485862</v>
      </c>
      <c r="E56" s="4"/>
      <c r="F56" s="4"/>
      <c r="G56" s="4"/>
      <c r="H56" s="4"/>
      <c r="I56" s="4"/>
      <c r="J56" s="4"/>
    </row>
    <row r="57" spans="1:10" ht="12.75" customHeight="1">
      <c r="A57" s="20" t="s">
        <v>49</v>
      </c>
      <c r="B57" s="4">
        <f t="shared" si="12"/>
        <v>0.718779723342474</v>
      </c>
      <c r="C57" s="4">
        <f t="shared" si="13"/>
        <v>-6.168371661995481</v>
      </c>
      <c r="D57" s="4">
        <f t="shared" si="14"/>
        <v>0.009599885268602105</v>
      </c>
      <c r="E57" s="4"/>
      <c r="F57" s="4"/>
      <c r="G57" s="4"/>
      <c r="H57" s="4"/>
      <c r="I57" s="4"/>
      <c r="J57" s="4"/>
    </row>
    <row r="58" spans="1:10" ht="12.75" customHeight="1">
      <c r="A58" s="20" t="s">
        <v>50</v>
      </c>
      <c r="B58" s="4">
        <f t="shared" si="12"/>
        <v>3.852341688705389</v>
      </c>
      <c r="C58" s="4">
        <f t="shared" si="13"/>
        <v>-10.378363584648245</v>
      </c>
      <c r="D58" s="4">
        <f t="shared" si="14"/>
        <v>0.017989032793417896</v>
      </c>
      <c r="E58" s="4"/>
      <c r="F58" s="4"/>
      <c r="G58" s="4"/>
      <c r="H58" s="4"/>
      <c r="I58" s="4"/>
      <c r="J58" s="4"/>
    </row>
    <row r="59" spans="1:10" ht="12.75" customHeight="1">
      <c r="A59" s="20" t="s">
        <v>51</v>
      </c>
      <c r="B59" s="4">
        <f t="shared" si="12"/>
        <v>16.350915536561562</v>
      </c>
      <c r="C59" s="4">
        <f t="shared" si="13"/>
        <v>10.408864488756732</v>
      </c>
      <c r="D59" s="4">
        <f t="shared" si="14"/>
        <v>-0.1667056736009707</v>
      </c>
      <c r="E59" s="4"/>
      <c r="F59" s="4"/>
      <c r="G59" s="4"/>
      <c r="H59" s="4"/>
      <c r="I59" s="4"/>
      <c r="J59" s="4"/>
    </row>
    <row r="60" spans="1:10" ht="12.75" customHeight="1">
      <c r="A60" s="20" t="s">
        <v>52</v>
      </c>
      <c r="B60" s="4">
        <f t="shared" si="12"/>
        <v>29.39370726366066</v>
      </c>
      <c r="C60" s="4">
        <f t="shared" si="13"/>
        <v>-7.329124738243189</v>
      </c>
      <c r="D60" s="4">
        <f t="shared" si="14"/>
        <v>-0.5419114216078784</v>
      </c>
      <c r="E60" s="4"/>
      <c r="F60" s="4"/>
      <c r="G60" s="4"/>
      <c r="H60" s="4"/>
      <c r="I60" s="4"/>
      <c r="J60" s="4"/>
    </row>
    <row r="61" spans="1:10" ht="12.75" customHeight="1">
      <c r="A61" s="20" t="s">
        <v>53</v>
      </c>
      <c r="B61" s="4">
        <f t="shared" si="12"/>
        <v>13.157030842369712</v>
      </c>
      <c r="C61" s="4">
        <f t="shared" si="13"/>
        <v>-32.35555597311569</v>
      </c>
      <c r="D61" s="4">
        <f t="shared" si="14"/>
        <v>-0.3978111677921781</v>
      </c>
      <c r="E61" s="4"/>
      <c r="F61" s="4"/>
      <c r="G61" s="4"/>
      <c r="H61" s="4"/>
      <c r="I61" s="4"/>
      <c r="J61" s="4"/>
    </row>
    <row r="62" spans="1:10" ht="12.75" customHeight="1">
      <c r="A62" s="3"/>
      <c r="B62" s="4"/>
      <c r="C62" s="4"/>
      <c r="D62" s="4"/>
      <c r="E62" s="4"/>
      <c r="F62" s="4"/>
      <c r="G62" s="4"/>
      <c r="H62" s="4"/>
      <c r="I62" s="4"/>
      <c r="J62" s="4"/>
    </row>
    <row r="63" ht="12.75" customHeight="1">
      <c r="A63" s="2" t="s">
        <v>105</v>
      </c>
    </row>
    <row r="65" spans="1:8" ht="12.75" customHeight="1">
      <c r="A65" s="16"/>
      <c r="B65" s="19" t="s">
        <v>106</v>
      </c>
      <c r="C65" s="38" t="s">
        <v>107</v>
      </c>
      <c r="D65" s="38" t="s">
        <v>108</v>
      </c>
      <c r="E65" s="38" t="s">
        <v>102</v>
      </c>
      <c r="F65" s="19" t="s">
        <v>109</v>
      </c>
      <c r="G65" s="19" t="s">
        <v>110</v>
      </c>
      <c r="H65" s="19" t="s">
        <v>111</v>
      </c>
    </row>
    <row r="66" spans="1:8" ht="12.75" customHeight="1">
      <c r="A66" s="31" t="s">
        <v>46</v>
      </c>
      <c r="B66" s="4">
        <f aca="true" t="shared" si="15" ref="B66:B67">B53</f>
        <v>0.1341620596193945</v>
      </c>
      <c r="C66" s="4">
        <f aca="true" t="shared" si="16" ref="C66:C67">C53*COS(RADIANS(23.439292))-D53*SIN(RADIANS(23.439292))</f>
        <v>-1.2977695212120326</v>
      </c>
      <c r="D66" s="4">
        <f aca="true" t="shared" si="17" ref="D66:D67">C53*SIN(RADIANS(23.439292))+D53*COS(RADIANS(23.439292))</f>
        <v>-0.5992022248541242</v>
      </c>
      <c r="E66" s="25">
        <f aca="true" t="shared" si="18" ref="E66:E67">SQRT(B66*B66+C66*C66+D66*D66)</f>
        <v>1.4357048772983807</v>
      </c>
      <c r="F66" s="4">
        <f aca="true" t="shared" si="19" ref="F66:F67">IF(B66&lt;0,MOD(180+DEGREES(ATAN(C66/B66)),360),IF(C66&lt;0,MOD(360+DEGREES(ATAN(C66/B66)),360),MOD(DEGREES(ATAN(C66/B66)),360)))</f>
        <v>275.9022114646583</v>
      </c>
      <c r="G66" s="41">
        <f aca="true" t="shared" si="20" ref="G66:G67">F66/15</f>
        <v>18.393480764310553</v>
      </c>
      <c r="H66" s="4">
        <f aca="true" t="shared" si="21" ref="H66:H67">DEGREES(ATAN(D66/SQRT(B66*B66+C66*C66)))</f>
        <v>-24.667868636791823</v>
      </c>
    </row>
    <row r="67" spans="1:8" ht="12.75" customHeight="1">
      <c r="A67" s="31" t="s">
        <v>47</v>
      </c>
      <c r="B67" s="4">
        <f t="shared" si="15"/>
        <v>0.9017387482468298</v>
      </c>
      <c r="C67" s="4">
        <f t="shared" si="16"/>
        <v>-0.8082460085859492</v>
      </c>
      <c r="D67" s="4">
        <f t="shared" si="17"/>
        <v>-0.39482473428217646</v>
      </c>
      <c r="E67" s="25">
        <f t="shared" si="18"/>
        <v>1.2736879332418396</v>
      </c>
      <c r="F67" s="4">
        <f t="shared" si="19"/>
        <v>318.12950818639456</v>
      </c>
      <c r="G67" s="41">
        <f t="shared" si="20"/>
        <v>21.20863387909297</v>
      </c>
      <c r="H67" s="4">
        <f t="shared" si="21"/>
        <v>-18.058353980385057</v>
      </c>
    </row>
    <row r="68" spans="2:8" ht="12.75" customHeight="1">
      <c r="B68" s="4"/>
      <c r="C68" s="4"/>
      <c r="D68" s="4"/>
      <c r="E68" s="25"/>
      <c r="F68" s="4"/>
      <c r="G68" s="41"/>
      <c r="H68" s="4"/>
    </row>
    <row r="69" spans="1:8" ht="12.75" customHeight="1">
      <c r="A69" s="20" t="s">
        <v>48</v>
      </c>
      <c r="B69" s="4">
        <f aca="true" t="shared" si="22" ref="B69:B74">B56</f>
        <v>-1.1340095685564702</v>
      </c>
      <c r="C69" s="4">
        <f aca="true" t="shared" si="23" ref="C69:C74">C56*COS(RADIANS(23.439292))-D56*SIN(RADIANS(23.439292))</f>
        <v>-1.7119948596125878</v>
      </c>
      <c r="D69" s="4">
        <f aca="true" t="shared" si="24" ref="D69:D74">C56*SIN(RADIANS(23.439292))+D56*COS(RADIANS(23.439292))</f>
        <v>-0.7274179427704596</v>
      </c>
      <c r="E69" s="25">
        <f aca="true" t="shared" si="25" ref="E69:E74">SQRT(B69*B69+C69*C69+D69*D69)</f>
        <v>2.178541017374234</v>
      </c>
      <c r="F69" s="4">
        <f aca="true" t="shared" si="26" ref="F69:F74">IF(B69&lt;0,MOD(180+DEGREES(ATAN(C69/B69)),360),IF(C69&lt;0,MOD(360+DEGREES(ATAN(C69/B69)),360),MOD(DEGREES(ATAN(C69/B69)),360)))</f>
        <v>236.47987697281795</v>
      </c>
      <c r="G69" s="41">
        <f aca="true" t="shared" si="27" ref="G69:G74">F69/15</f>
        <v>15.765325131521196</v>
      </c>
      <c r="H69" s="4">
        <f aca="true" t="shared" si="28" ref="H69:H74">DEGREES(ATAN(D69/SQRT(B69*B69+C69*C69)))</f>
        <v>-19.505747807876375</v>
      </c>
    </row>
    <row r="70" spans="1:8" ht="12.75" customHeight="1">
      <c r="A70" s="20" t="s">
        <v>49</v>
      </c>
      <c r="B70" s="4">
        <f t="shared" si="22"/>
        <v>0.718779723342474</v>
      </c>
      <c r="C70" s="4">
        <f t="shared" si="23"/>
        <v>-5.6631889291869575</v>
      </c>
      <c r="D70" s="4">
        <f t="shared" si="24"/>
        <v>-2.4448297017666363</v>
      </c>
      <c r="E70" s="25">
        <f t="shared" si="25"/>
        <v>6.210116376445319</v>
      </c>
      <c r="F70" s="4">
        <f t="shared" si="26"/>
        <v>277.2333836062046</v>
      </c>
      <c r="G70" s="41">
        <f t="shared" si="27"/>
        <v>18.482225573746973</v>
      </c>
      <c r="H70" s="4">
        <f t="shared" si="28"/>
        <v>-23.183986448833057</v>
      </c>
    </row>
    <row r="71" spans="1:8" ht="12.75" customHeight="1">
      <c r="A71" s="20" t="s">
        <v>50</v>
      </c>
      <c r="B71" s="4">
        <f t="shared" si="22"/>
        <v>3.852341688705389</v>
      </c>
      <c r="C71" s="4">
        <f t="shared" si="23"/>
        <v>-9.529117985059132</v>
      </c>
      <c r="D71" s="4">
        <f t="shared" si="24"/>
        <v>-4.111771482861881</v>
      </c>
      <c r="E71" s="25">
        <f t="shared" si="25"/>
        <v>11.070288649669036</v>
      </c>
      <c r="F71" s="4">
        <f t="shared" si="26"/>
        <v>292.0120328629632</v>
      </c>
      <c r="G71" s="41">
        <f t="shared" si="27"/>
        <v>19.467468857530882</v>
      </c>
      <c r="H71" s="4">
        <f t="shared" si="28"/>
        <v>-21.803469181712668</v>
      </c>
    </row>
    <row r="72" spans="1:8" ht="12.75" customHeight="1">
      <c r="A72" s="20" t="s">
        <v>51</v>
      </c>
      <c r="B72" s="4">
        <f t="shared" si="22"/>
        <v>16.350915536561562</v>
      </c>
      <c r="C72" s="4">
        <f t="shared" si="23"/>
        <v>9.616258101804323</v>
      </c>
      <c r="D72" s="4">
        <f t="shared" si="24"/>
        <v>3.9874591968312867</v>
      </c>
      <c r="E72" s="25">
        <f t="shared" si="25"/>
        <v>19.383619105076377</v>
      </c>
      <c r="F72" s="4">
        <f t="shared" si="26"/>
        <v>30.46052672661233</v>
      </c>
      <c r="G72" s="41">
        <f t="shared" si="27"/>
        <v>2.0307017817741553</v>
      </c>
      <c r="H72" s="4">
        <f t="shared" si="28"/>
        <v>11.871230780817573</v>
      </c>
    </row>
    <row r="73" spans="1:8" ht="12.75" customHeight="1">
      <c r="A73" s="20" t="s">
        <v>52</v>
      </c>
      <c r="B73" s="4">
        <f t="shared" si="22"/>
        <v>29.39370726366066</v>
      </c>
      <c r="C73" s="4">
        <f t="shared" si="23"/>
        <v>-6.508780441008945</v>
      </c>
      <c r="D73" s="4">
        <f t="shared" si="24"/>
        <v>-3.412552503381711</v>
      </c>
      <c r="E73" s="25">
        <f t="shared" si="25"/>
        <v>30.298510922475625</v>
      </c>
      <c r="F73" s="4">
        <f t="shared" si="26"/>
        <v>347.5142095029439</v>
      </c>
      <c r="G73" s="41">
        <f t="shared" si="27"/>
        <v>23.167613966862927</v>
      </c>
      <c r="H73" s="4">
        <f t="shared" si="28"/>
        <v>-6.467005284113465</v>
      </c>
    </row>
    <row r="74" spans="1:8" ht="12.75" customHeight="1">
      <c r="A74" s="20" t="s">
        <v>53</v>
      </c>
      <c r="B74" s="4">
        <f t="shared" si="22"/>
        <v>13.157030842369712</v>
      </c>
      <c r="C74" s="4">
        <f t="shared" si="23"/>
        <v>-29.527401813353965</v>
      </c>
      <c r="D74" s="4">
        <f t="shared" si="24"/>
        <v>-13.235286102211147</v>
      </c>
      <c r="E74" s="25">
        <f t="shared" si="25"/>
        <v>34.93061288671744</v>
      </c>
      <c r="F74" s="4">
        <f t="shared" si="26"/>
        <v>294.01713848255525</v>
      </c>
      <c r="G74" s="41">
        <f t="shared" si="27"/>
        <v>19.601142565503682</v>
      </c>
      <c r="H74" s="4">
        <f t="shared" si="28"/>
        <v>-22.265699024078216</v>
      </c>
    </row>
    <row r="76" ht="12.75" customHeight="1">
      <c r="A76" s="2" t="s">
        <v>112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6"/>
  <sheetViews>
    <sheetView workbookViewId="0" topLeftCell="A1">
      <selection activeCell="N18" sqref="N18"/>
    </sheetView>
  </sheetViews>
  <sheetFormatPr defaultColWidth="11.421875" defaultRowHeight="12.75" customHeight="1"/>
  <cols>
    <col min="1" max="1" width="21.8515625" style="0" customWidth="1"/>
    <col min="2" max="2" width="12.57421875" style="0" customWidth="1"/>
    <col min="3" max="4" width="10.57421875" style="0" customWidth="1"/>
    <col min="5" max="5" width="9.57421875" style="0" customWidth="1"/>
    <col min="6" max="6" width="11.140625" style="0" customWidth="1"/>
    <col min="7" max="10" width="10.57421875" style="0" customWidth="1"/>
    <col min="11" max="64" width="9.00390625" style="0" customWidth="1"/>
  </cols>
  <sheetData>
    <row r="1" ht="18" customHeight="1">
      <c r="A1" s="1" t="s">
        <v>40</v>
      </c>
    </row>
    <row r="2" ht="12.75" customHeight="1">
      <c r="A2" s="14" t="s">
        <v>113</v>
      </c>
    </row>
    <row r="3" ht="12.75" customHeight="1">
      <c r="A3" s="14" t="s">
        <v>114</v>
      </c>
    </row>
    <row r="4" ht="12.75" customHeight="1">
      <c r="A4" s="14"/>
    </row>
    <row r="6" spans="1:4" ht="12.75" customHeight="1">
      <c r="A6" s="2" t="s">
        <v>1</v>
      </c>
      <c r="D6" s="2" t="s">
        <v>42</v>
      </c>
    </row>
    <row r="7" spans="1:7" ht="12.75" customHeight="1">
      <c r="A7" s="3" t="s">
        <v>3</v>
      </c>
      <c r="B7" s="4">
        <f>-(1+55/60)</f>
        <v>-1.9166666666666665</v>
      </c>
      <c r="D7" s="16"/>
      <c r="E7" s="17" t="s">
        <v>43</v>
      </c>
      <c r="F7" s="18" t="s">
        <v>44</v>
      </c>
      <c r="G7" s="19" t="s">
        <v>45</v>
      </c>
    </row>
    <row r="8" spans="1:7" ht="12.75" customHeight="1">
      <c r="A8" s="3" t="s">
        <v>5</v>
      </c>
      <c r="B8" s="4">
        <v>52.5</v>
      </c>
      <c r="D8" s="20" t="s">
        <v>46</v>
      </c>
      <c r="E8" s="26">
        <f aca="true" t="shared" si="0" ref="E8:E9">CONCATENATE(TEXT(INT(G66),"00"),":",TEXT(INT(60*(G66-INT(G66))),"00"),":",TEXT((G66-INT(G66)-INT(60*(G66-INT(G66)))/60)*3600,"00"))</f>
        <v>0</v>
      </c>
      <c r="F8" s="27">
        <f aca="true" t="shared" si="1" ref="F8:F9">CONCATENATE(TEXT(INT(ABS(H66)),"00"),":",TEXT(INT(60*(ABS(H66)-INT(ABS(H66)))),"00"),":",TEXT((ABS(H66)-INT(ABS(H66))-INT(60*(ABS(H66)-INT(ABS(H66))))/60)*3600,"00"),IF(H66&lt;0,"s","n"))</f>
        <v>0</v>
      </c>
      <c r="G8" s="4">
        <f aca="true" t="shared" si="2" ref="G8:G9">E66</f>
        <v>1.4356970431052334</v>
      </c>
    </row>
    <row r="9" spans="1:7" ht="12.75" customHeight="1">
      <c r="A9" s="3" t="s">
        <v>7</v>
      </c>
      <c r="B9" s="6">
        <v>0</v>
      </c>
      <c r="D9" s="20" t="s">
        <v>47</v>
      </c>
      <c r="E9" s="26">
        <f t="shared" si="0"/>
        <v>0</v>
      </c>
      <c r="F9" s="27">
        <f t="shared" si="1"/>
        <v>0</v>
      </c>
      <c r="G9" s="4">
        <f t="shared" si="2"/>
        <v>1.2737114716840194</v>
      </c>
    </row>
    <row r="10" spans="1:7" ht="12.75" customHeight="1">
      <c r="A10" s="3" t="s">
        <v>9</v>
      </c>
      <c r="B10" s="6">
        <v>0</v>
      </c>
      <c r="D10" s="20" t="s">
        <v>48</v>
      </c>
      <c r="E10" s="26">
        <f aca="true" t="shared" si="3" ref="E10:E15">CONCATENATE(TEXT(INT(G69),"00"),":",TEXT(INT(60*(G69-INT(G69))),"00"),":",TEXT((G69-INT(G69)-INT(60*(G69-INT(G69)))/60)*3600,"00"))</f>
        <v>0</v>
      </c>
      <c r="F10" s="27">
        <f aca="true" t="shared" si="4" ref="F10:F15">CONCATENATE(TEXT(INT(ABS(H69)),"00"),":",TEXT(INT(60*(ABS(H69)-INT(ABS(H69)))),"00"),":",TEXT((ABS(H69)-INT(ABS(H69))-INT(60*(ABS(H69)-INT(ABS(H69))))/60)*3600,"00"),IF(H69&lt;0,"s","n"))</f>
        <v>0</v>
      </c>
      <c r="G10" s="4">
        <f aca="true" t="shared" si="5" ref="G10:G15">E69</f>
        <v>2.1785710470093904</v>
      </c>
    </row>
    <row r="11" spans="1:7" ht="12.75" customHeight="1">
      <c r="A11" s="3"/>
      <c r="B11" s="6"/>
      <c r="D11" s="20" t="s">
        <v>49</v>
      </c>
      <c r="E11" s="26">
        <f t="shared" si="3"/>
        <v>0</v>
      </c>
      <c r="F11" s="27">
        <f t="shared" si="4"/>
        <v>0</v>
      </c>
      <c r="G11" s="4">
        <f t="shared" si="5"/>
        <v>6.210122499577637</v>
      </c>
    </row>
    <row r="12" spans="1:7" ht="12.75" customHeight="1">
      <c r="A12" s="7" t="s">
        <v>10</v>
      </c>
      <c r="B12" s="4"/>
      <c r="D12" s="20" t="s">
        <v>50</v>
      </c>
      <c r="E12" s="26">
        <f t="shared" si="3"/>
        <v>0</v>
      </c>
      <c r="F12" s="27">
        <f t="shared" si="4"/>
        <v>0</v>
      </c>
      <c r="G12" s="4">
        <f t="shared" si="5"/>
        <v>11.07027702766135</v>
      </c>
    </row>
    <row r="13" spans="1:7" ht="12.75" customHeight="1">
      <c r="A13" s="3" t="s">
        <v>11</v>
      </c>
      <c r="B13" s="8">
        <v>2020</v>
      </c>
      <c r="D13" s="20" t="s">
        <v>51</v>
      </c>
      <c r="E13" s="26">
        <f t="shared" si="3"/>
        <v>0</v>
      </c>
      <c r="F13" s="27">
        <f t="shared" si="4"/>
        <v>0</v>
      </c>
      <c r="G13" s="4">
        <f t="shared" si="5"/>
        <v>19.383552800895348</v>
      </c>
    </row>
    <row r="14" spans="1:7" ht="12.75" customHeight="1">
      <c r="A14" s="3" t="s">
        <v>12</v>
      </c>
      <c r="B14" s="9">
        <v>1</v>
      </c>
      <c r="D14" s="20" t="s">
        <v>52</v>
      </c>
      <c r="E14" s="26">
        <f t="shared" si="3"/>
        <v>0</v>
      </c>
      <c r="F14" s="27">
        <f t="shared" si="4"/>
        <v>0</v>
      </c>
      <c r="G14" s="4">
        <f t="shared" si="5"/>
        <v>30.298445172127643</v>
      </c>
    </row>
    <row r="15" spans="1:7" ht="12.75" customHeight="1">
      <c r="A15" s="3" t="s">
        <v>13</v>
      </c>
      <c r="B15" s="9">
        <v>1</v>
      </c>
      <c r="D15" s="20" t="s">
        <v>53</v>
      </c>
      <c r="E15" s="26">
        <f t="shared" si="3"/>
        <v>0</v>
      </c>
      <c r="F15" s="27">
        <f t="shared" si="4"/>
        <v>0</v>
      </c>
      <c r="G15" s="4">
        <f t="shared" si="5"/>
        <v>34.930595631002646</v>
      </c>
    </row>
    <row r="16" spans="1:2" ht="12.75" customHeight="1">
      <c r="A16" s="3" t="s">
        <v>14</v>
      </c>
      <c r="B16" s="9">
        <v>17</v>
      </c>
    </row>
    <row r="17" spans="1:5" ht="12.75" customHeight="1">
      <c r="A17" s="3" t="s">
        <v>15</v>
      </c>
      <c r="B17" s="9">
        <v>30</v>
      </c>
      <c r="E17" s="4"/>
    </row>
    <row r="18" spans="4:6" ht="12.75" customHeight="1">
      <c r="D18" s="28"/>
      <c r="E18" s="29"/>
      <c r="F18" s="28"/>
    </row>
    <row r="19" spans="1:5" ht="12.75" customHeight="1">
      <c r="A19" s="2" t="s">
        <v>2</v>
      </c>
      <c r="E19" s="8"/>
    </row>
    <row r="20" spans="1:5" ht="12.75" customHeight="1">
      <c r="A20" s="3" t="s">
        <v>4</v>
      </c>
      <c r="B20" s="5">
        <f>367*B13-INT(7*(B13+INT((B14+9)/12))/4)+INT(275*B14/9)+B15+(B16+B17/60)/24-730531.5+(-B9+B10)/24</f>
        <v>7305.229166666628</v>
      </c>
      <c r="E20" s="8"/>
    </row>
    <row r="21" spans="1:2" ht="12.75" customHeight="1">
      <c r="A21" s="3" t="s">
        <v>6</v>
      </c>
      <c r="B21" s="5">
        <f>B20/36525</f>
        <v>0.20000627424138612</v>
      </c>
    </row>
    <row r="22" spans="1:2" ht="12.75" customHeight="1">
      <c r="A22" s="3" t="s">
        <v>8</v>
      </c>
      <c r="B22" s="5">
        <f>MOD(280.46061837+360.98564736629*B20+B7,360)</f>
        <v>1.4238399593159556</v>
      </c>
    </row>
    <row r="23" ht="12.75" customHeight="1">
      <c r="E23" s="23"/>
    </row>
    <row r="24" spans="1:6" ht="12.75" customHeight="1">
      <c r="A24" s="2" t="s">
        <v>87</v>
      </c>
      <c r="B24" s="3" t="s">
        <v>88</v>
      </c>
      <c r="C24" s="3" t="s">
        <v>89</v>
      </c>
      <c r="D24" s="3" t="s">
        <v>90</v>
      </c>
      <c r="E24" s="3" t="s">
        <v>91</v>
      </c>
      <c r="F24" t="s">
        <v>92</v>
      </c>
    </row>
    <row r="25" spans="1:6" ht="12.75" customHeight="1">
      <c r="A25" s="24" t="s">
        <v>93</v>
      </c>
      <c r="B25">
        <v>2003</v>
      </c>
      <c r="C25">
        <v>7</v>
      </c>
      <c r="D25">
        <v>30</v>
      </c>
      <c r="E25">
        <f>367*B25-INT(7*(B25+INT((C25+9)/12))/4)+INT(275*C25/9)+D25-730531.5</f>
        <v>1305.5</v>
      </c>
      <c r="F25" s="12">
        <f>B20-E25</f>
        <v>5999.729166666628</v>
      </c>
    </row>
    <row r="26" ht="12.75" customHeight="1">
      <c r="A26" s="2"/>
    </row>
    <row r="27" spans="1:8" ht="12.75" customHeight="1">
      <c r="A27" s="30" t="s">
        <v>94</v>
      </c>
      <c r="B27" s="19" t="s">
        <v>58</v>
      </c>
      <c r="C27" s="19" t="s">
        <v>95</v>
      </c>
      <c r="D27" s="19" t="s">
        <v>96</v>
      </c>
      <c r="E27" s="19" t="s">
        <v>56</v>
      </c>
      <c r="F27" s="19" t="s">
        <v>97</v>
      </c>
      <c r="G27" s="19" t="s">
        <v>57</v>
      </c>
      <c r="H27" s="19" t="s">
        <v>98</v>
      </c>
    </row>
    <row r="28" spans="1:8" ht="12.75" customHeight="1">
      <c r="A28" s="31" t="s">
        <v>46</v>
      </c>
      <c r="B28" s="32">
        <v>7.00502</v>
      </c>
      <c r="C28" s="32">
        <v>48.37336</v>
      </c>
      <c r="D28" s="32">
        <v>77.51167</v>
      </c>
      <c r="E28" s="33">
        <v>0.38709699999999997</v>
      </c>
      <c r="F28" s="34">
        <v>4.0923671</v>
      </c>
      <c r="G28" s="34">
        <v>0.20563689999999998</v>
      </c>
      <c r="H28" s="32">
        <v>117.33903</v>
      </c>
    </row>
    <row r="29" spans="1:8" ht="12.75" customHeight="1">
      <c r="A29" s="31" t="s">
        <v>47</v>
      </c>
      <c r="B29" s="32">
        <v>3.39472</v>
      </c>
      <c r="C29" s="32">
        <v>76.71161</v>
      </c>
      <c r="D29" s="32">
        <v>131.60374</v>
      </c>
      <c r="E29" s="33">
        <v>0.723331</v>
      </c>
      <c r="F29" s="34">
        <v>1.6021334</v>
      </c>
      <c r="G29" s="34">
        <v>0.0067367</v>
      </c>
      <c r="H29" s="32">
        <v>342.0067</v>
      </c>
    </row>
    <row r="30" spans="1:8" ht="12.75" customHeight="1">
      <c r="A30" s="20" t="s">
        <v>55</v>
      </c>
      <c r="B30" s="32">
        <v>7.000000000000001E-05</v>
      </c>
      <c r="C30" s="32">
        <v>243.36859</v>
      </c>
      <c r="D30" s="32">
        <v>102.9925</v>
      </c>
      <c r="E30" s="33">
        <v>1</v>
      </c>
      <c r="F30" s="34">
        <v>0.9856096</v>
      </c>
      <c r="G30" s="34">
        <v>0.0167123</v>
      </c>
      <c r="H30" s="32">
        <v>204.23538</v>
      </c>
    </row>
    <row r="31" spans="1:8" ht="12.75" customHeight="1">
      <c r="A31" s="20" t="s">
        <v>48</v>
      </c>
      <c r="B31" s="32">
        <v>1.84957</v>
      </c>
      <c r="C31" s="32">
        <v>49.58266</v>
      </c>
      <c r="D31" s="32">
        <v>336.10284</v>
      </c>
      <c r="E31" s="33">
        <v>1.523701</v>
      </c>
      <c r="F31" s="34">
        <v>0.5240279</v>
      </c>
      <c r="G31" s="34">
        <v>0.0935572</v>
      </c>
      <c r="H31" s="32">
        <v>343.51593</v>
      </c>
    </row>
    <row r="32" spans="1:8" ht="12.75" customHeight="1">
      <c r="A32" s="20" t="s">
        <v>49</v>
      </c>
      <c r="B32" s="32">
        <v>1.3036400000000001</v>
      </c>
      <c r="C32" s="32">
        <v>100.54118</v>
      </c>
      <c r="D32" s="32">
        <v>14.885580000000001</v>
      </c>
      <c r="E32" s="33">
        <v>5.202056</v>
      </c>
      <c r="F32" s="34">
        <v>0.08310909999999999</v>
      </c>
      <c r="G32" s="34">
        <v>0.0489507</v>
      </c>
      <c r="H32" s="32">
        <v>127.96583</v>
      </c>
    </row>
    <row r="33" spans="1:8" ht="12.75" customHeight="1">
      <c r="A33" s="20" t="s">
        <v>50</v>
      </c>
      <c r="B33" s="32">
        <v>2.48551</v>
      </c>
      <c r="C33" s="32">
        <v>113.66668</v>
      </c>
      <c r="D33" s="32">
        <v>93.84391</v>
      </c>
      <c r="E33" s="33">
        <v>9.581040999999999</v>
      </c>
      <c r="F33" s="34">
        <v>0.0332389</v>
      </c>
      <c r="G33" s="34">
        <v>0.0574197</v>
      </c>
      <c r="H33" s="32">
        <v>0.10457000000000001</v>
      </c>
    </row>
    <row r="34" spans="1:8" ht="12.75" customHeight="1">
      <c r="A34" s="20" t="s">
        <v>51</v>
      </c>
      <c r="B34" s="32">
        <v>0.7718700000000001</v>
      </c>
      <c r="C34" s="32">
        <v>73.86906</v>
      </c>
      <c r="D34" s="32">
        <v>169.43754</v>
      </c>
      <c r="E34" s="33">
        <v>19.130024</v>
      </c>
      <c r="F34" s="34">
        <v>0.0117799</v>
      </c>
      <c r="G34" s="34">
        <v>0.049931699999999996</v>
      </c>
      <c r="H34" s="32">
        <v>159.211</v>
      </c>
    </row>
    <row r="35" spans="1:8" ht="12.75" customHeight="1">
      <c r="A35" s="20" t="s">
        <v>52</v>
      </c>
      <c r="B35" s="32">
        <v>1.77101</v>
      </c>
      <c r="C35" s="32">
        <v>131.82616</v>
      </c>
      <c r="D35" s="32">
        <v>69.44961</v>
      </c>
      <c r="E35" s="33">
        <v>29.947586</v>
      </c>
      <c r="F35" s="34">
        <v>0.0060141</v>
      </c>
      <c r="G35" s="34">
        <v>0.009595099999999999</v>
      </c>
      <c r="H35" s="32">
        <v>243.28084</v>
      </c>
    </row>
    <row r="36" spans="1:8" ht="12.75" customHeight="1">
      <c r="A36" s="20" t="s">
        <v>53</v>
      </c>
      <c r="B36" s="32">
        <v>17.16704</v>
      </c>
      <c r="C36" s="32">
        <v>110.28895</v>
      </c>
      <c r="D36" s="32">
        <v>223.5414</v>
      </c>
      <c r="E36" s="33">
        <v>39.446486</v>
      </c>
      <c r="F36" s="34">
        <v>0.0039781999999999994</v>
      </c>
      <c r="G36" s="34">
        <v>0.2491465</v>
      </c>
      <c r="H36" s="32">
        <v>20.38981</v>
      </c>
    </row>
    <row r="37" spans="1:8" ht="12.75" customHeight="1">
      <c r="A37" s="35"/>
      <c r="B37" s="32"/>
      <c r="C37" s="32"/>
      <c r="D37" s="32"/>
      <c r="E37" s="33"/>
      <c r="F37" s="34"/>
      <c r="G37" s="34"/>
      <c r="H37" s="32"/>
    </row>
    <row r="38" spans="1:8" ht="12.75" customHeight="1">
      <c r="A38" s="36" t="s">
        <v>99</v>
      </c>
      <c r="B38" s="32"/>
      <c r="C38" s="32"/>
      <c r="D38" s="32"/>
      <c r="E38" s="33"/>
      <c r="F38" s="34"/>
      <c r="G38" s="34"/>
      <c r="H38" s="32"/>
    </row>
    <row r="39" spans="1:10" ht="12.75" customHeight="1">
      <c r="A39" s="37"/>
      <c r="B39" s="38" t="s">
        <v>100</v>
      </c>
      <c r="C39" s="38" t="s">
        <v>101</v>
      </c>
      <c r="D39" s="38" t="s">
        <v>102</v>
      </c>
      <c r="E39" s="38" t="s">
        <v>29</v>
      </c>
      <c r="F39" s="38" t="s">
        <v>28</v>
      </c>
      <c r="G39" s="38" t="s">
        <v>103</v>
      </c>
      <c r="H39" s="4"/>
      <c r="I39" s="4"/>
      <c r="J39" s="4"/>
    </row>
    <row r="40" spans="1:10" ht="12.75" customHeight="1">
      <c r="A40" s="31" t="s">
        <v>46</v>
      </c>
      <c r="B40" s="4">
        <f aca="true" t="shared" si="6" ref="B40:B48">MOD(H28+$F$25*F28,360)</f>
        <v>190.4332805769227</v>
      </c>
      <c r="C40" s="4">
        <f aca="true" t="shared" si="7" ref="C40:C48">DEGREES(RADIANS(B40)+(2*G28-0.25*G28^3+5/96*G28^5)*SIN(RADIANS(B40))+(1.25*G28^2-11/24*G28^4)*SIN(2*RADIANS(B40))+(13/12*G28^3-43/64*G28^5)*SIN(3*RADIANS(B40))+103/96*G28^4*SIN(4*RADIANS(B40))+1097/960*G28^5*SIN(5*RADIANS(B40)))</f>
        <v>187.03150442612116</v>
      </c>
      <c r="D40" s="4">
        <f aca="true" t="shared" si="8" ref="D40:D48">E28*(1-G28^2)/(1+G28*COS(RADIANS(C40)))</f>
        <v>0.46579154734516903</v>
      </c>
      <c r="E40" s="4">
        <f aca="true" t="shared" si="9" ref="E40:E48">D40*(COS(RADIANS(C40+D28-C28))*COS(RADIANS(C28))-SIN(RADIANS(C40+D28-C28))*COS(RADIANS(B28))*SIN(RADIANS(C28)))</f>
        <v>-0.04582860742135738</v>
      </c>
      <c r="F40" s="4">
        <f aca="true" t="shared" si="10" ref="F40:F48">D40*(COS(RADIANS(C40+D28-C28))*SIN(RADIANS(C28))+SIN(RADIANS(C40+D28-C28))*COS(RADIANS(B28))*COS(RADIANS(C28)))</f>
        <v>-0.4623175501012704</v>
      </c>
      <c r="G40" s="4">
        <f aca="true" t="shared" si="11" ref="G40:G48">D40*SIN(RADIANS(C40+D28-C28))*SIN(RADIANS(B28))</f>
        <v>-0.03352591815872068</v>
      </c>
      <c r="H40" s="4"/>
      <c r="I40" s="4"/>
      <c r="J40" s="4"/>
    </row>
    <row r="41" spans="1:10" ht="12.75" customHeight="1">
      <c r="A41" s="31" t="s">
        <v>47</v>
      </c>
      <c r="B41" s="4">
        <f t="shared" si="6"/>
        <v>234.37318887077163</v>
      </c>
      <c r="C41" s="4">
        <f t="shared" si="7"/>
        <v>233.74878649907794</v>
      </c>
      <c r="D41" s="4">
        <f t="shared" si="8"/>
        <v>0.7261910208261155</v>
      </c>
      <c r="E41" s="4">
        <f t="shared" si="9"/>
        <v>0.7218494554421924</v>
      </c>
      <c r="F41" s="4">
        <f t="shared" si="10"/>
        <v>0.06801908568894996</v>
      </c>
      <c r="G41" s="4">
        <f t="shared" si="11"/>
        <v>-0.040745139444176195</v>
      </c>
      <c r="H41" s="4"/>
      <c r="I41" s="4"/>
      <c r="J41" s="4"/>
    </row>
    <row r="42" spans="1:10" ht="12.75" customHeight="1">
      <c r="A42" s="20" t="s">
        <v>55</v>
      </c>
      <c r="B42" s="4">
        <f t="shared" si="6"/>
        <v>357.6260440666283</v>
      </c>
      <c r="C42" s="4">
        <f t="shared" si="7"/>
        <v>357.5450287320089</v>
      </c>
      <c r="D42" s="4">
        <f t="shared" si="8"/>
        <v>0.9833025346200223</v>
      </c>
      <c r="E42" s="4">
        <f t="shared" si="9"/>
        <v>-0.17982589383225164</v>
      </c>
      <c r="F42" s="4">
        <f t="shared" si="10"/>
        <v>0.9667194642175491</v>
      </c>
      <c r="G42" s="4">
        <f t="shared" si="11"/>
        <v>-7.258046017891017E-07</v>
      </c>
      <c r="H42" s="4"/>
      <c r="I42" s="4"/>
      <c r="J42" s="4"/>
    </row>
    <row r="43" spans="1:10" ht="12.75" customHeight="1">
      <c r="A43" s="20" t="s">
        <v>48</v>
      </c>
      <c r="B43" s="4">
        <f t="shared" si="6"/>
        <v>247.54140577706312</v>
      </c>
      <c r="C43" s="4">
        <f t="shared" si="7"/>
        <v>238.10060347714102</v>
      </c>
      <c r="D43" s="4">
        <f t="shared" si="8"/>
        <v>1.5889176263073481</v>
      </c>
      <c r="E43" s="4">
        <f t="shared" si="9"/>
        <v>-1.3139420797407175</v>
      </c>
      <c r="F43" s="4">
        <f t="shared" si="10"/>
        <v>-0.8933255050413355</v>
      </c>
      <c r="G43" s="4">
        <f t="shared" si="11"/>
        <v>0.013600599966867926</v>
      </c>
      <c r="H43" s="4"/>
      <c r="I43" s="4"/>
      <c r="J43" s="4"/>
    </row>
    <row r="44" spans="1:10" ht="12.75" customHeight="1">
      <c r="A44" s="20" t="s">
        <v>49</v>
      </c>
      <c r="B44" s="4">
        <f t="shared" si="6"/>
        <v>266.59792128541335</v>
      </c>
      <c r="C44" s="4">
        <f t="shared" si="7"/>
        <v>261.02751423077785</v>
      </c>
      <c r="D44" s="4">
        <f t="shared" si="8"/>
        <v>5.229514975096529</v>
      </c>
      <c r="E44" s="4">
        <f t="shared" si="9"/>
        <v>0.5388512790505378</v>
      </c>
      <c r="F44" s="4">
        <f t="shared" si="10"/>
        <v>-5.201670310228214</v>
      </c>
      <c r="G44" s="4">
        <f t="shared" si="11"/>
        <v>0.009599870559731341</v>
      </c>
      <c r="H44" s="4"/>
      <c r="I44" s="4"/>
      <c r="J44" s="4"/>
    </row>
    <row r="45" spans="1:10" ht="12.75" customHeight="1">
      <c r="A45" s="20" t="s">
        <v>50</v>
      </c>
      <c r="B45" s="4">
        <f t="shared" si="6"/>
        <v>199.52896779791539</v>
      </c>
      <c r="C45" s="4">
        <f t="shared" si="7"/>
        <v>197.4695649980777</v>
      </c>
      <c r="D45" s="4">
        <f t="shared" si="8"/>
        <v>10.102795387548543</v>
      </c>
      <c r="E45" s="4">
        <f t="shared" si="9"/>
        <v>3.672423888292073</v>
      </c>
      <c r="F45" s="4">
        <f t="shared" si="10"/>
        <v>-9.411665836289563</v>
      </c>
      <c r="G45" s="4">
        <f t="shared" si="11"/>
        <v>0.017989257731043096</v>
      </c>
      <c r="H45" s="4"/>
      <c r="I45" s="4"/>
      <c r="J45" s="4"/>
    </row>
    <row r="46" spans="1:10" ht="12.75" customHeight="1">
      <c r="A46" s="20" t="s">
        <v>51</v>
      </c>
      <c r="B46" s="4">
        <f t="shared" si="6"/>
        <v>229.88720961041622</v>
      </c>
      <c r="C46" s="4">
        <f t="shared" si="7"/>
        <v>225.68450723434478</v>
      </c>
      <c r="D46" s="4">
        <f t="shared" si="8"/>
        <v>19.77203184189474</v>
      </c>
      <c r="E46" s="4">
        <f t="shared" si="9"/>
        <v>16.171027588383787</v>
      </c>
      <c r="F46" s="4">
        <f t="shared" si="10"/>
        <v>11.375557956068889</v>
      </c>
      <c r="G46" s="4">
        <f t="shared" si="11"/>
        <v>-0.1667065707995472</v>
      </c>
      <c r="H46" s="4"/>
      <c r="I46" s="4"/>
      <c r="J46" s="4"/>
    </row>
    <row r="47" spans="1:10" ht="12.75" customHeight="1">
      <c r="A47" s="20" t="s">
        <v>52</v>
      </c>
      <c r="B47" s="4">
        <f t="shared" si="6"/>
        <v>279.3638111812498</v>
      </c>
      <c r="C47" s="4">
        <f t="shared" si="7"/>
        <v>278.27688883785135</v>
      </c>
      <c r="D47" s="4">
        <f t="shared" si="8"/>
        <v>29.903523640075896</v>
      </c>
      <c r="E47" s="4">
        <f t="shared" si="9"/>
        <v>29.21380706334425</v>
      </c>
      <c r="F47" s="4">
        <f t="shared" si="10"/>
        <v>-6.362431495594196</v>
      </c>
      <c r="G47" s="4">
        <f t="shared" si="11"/>
        <v>-0.541911821375407</v>
      </c>
      <c r="H47" s="4"/>
      <c r="I47" s="4"/>
      <c r="J47" s="4"/>
    </row>
    <row r="48" spans="1:10" ht="12.75" customHeight="1">
      <c r="A48" s="20" t="s">
        <v>53</v>
      </c>
      <c r="B48" s="4">
        <f t="shared" si="6"/>
        <v>44.25793257083318</v>
      </c>
      <c r="C48" s="4">
        <f t="shared" si="7"/>
        <v>69.02152261891486</v>
      </c>
      <c r="D48" s="4">
        <f t="shared" si="8"/>
        <v>33.96798425805795</v>
      </c>
      <c r="E48" s="4">
        <f t="shared" si="9"/>
        <v>12.977120955023114</v>
      </c>
      <c r="F48" s="4">
        <f t="shared" si="10"/>
        <v>-31.388852081678145</v>
      </c>
      <c r="G48" s="4">
        <f t="shared" si="11"/>
        <v>-0.39780808048921645</v>
      </c>
      <c r="H48" s="4"/>
      <c r="I48" s="4"/>
      <c r="J48" s="4"/>
    </row>
    <row r="49" spans="1:10" ht="12.75" customHeight="1">
      <c r="A49" s="3"/>
      <c r="B49" s="4"/>
      <c r="C49" s="4"/>
      <c r="D49" s="4"/>
      <c r="E49" s="4"/>
      <c r="F49" s="4"/>
      <c r="G49" s="4"/>
      <c r="H49" s="4"/>
      <c r="I49" s="4"/>
      <c r="J49" s="4"/>
    </row>
    <row r="50" spans="1:10" ht="12.75" customHeight="1">
      <c r="A50" s="39" t="s">
        <v>104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2.75" customHeight="1">
      <c r="A51" s="3"/>
      <c r="B51" s="4"/>
      <c r="C51" s="4"/>
      <c r="D51" s="4"/>
      <c r="E51" s="4"/>
      <c r="F51" s="4"/>
      <c r="G51" s="4"/>
      <c r="H51" s="4"/>
      <c r="I51" s="4"/>
      <c r="J51" s="4"/>
    </row>
    <row r="52" spans="1:10" ht="12.75" customHeight="1">
      <c r="A52" s="16"/>
      <c r="B52" s="19" t="s">
        <v>29</v>
      </c>
      <c r="C52" s="38" t="s">
        <v>28</v>
      </c>
      <c r="D52" s="38" t="s">
        <v>103</v>
      </c>
      <c r="E52" s="40"/>
      <c r="F52" s="4"/>
      <c r="G52" s="4"/>
      <c r="H52" s="4"/>
      <c r="I52" s="4"/>
      <c r="J52" s="4"/>
    </row>
    <row r="53" spans="1:10" ht="12.75" customHeight="1">
      <c r="A53" s="31" t="s">
        <v>46</v>
      </c>
      <c r="B53" s="4">
        <f aca="true" t="shared" si="12" ref="B53:B61">E40-E$42</f>
        <v>0.13399728641089426</v>
      </c>
      <c r="C53" s="4">
        <f aca="true" t="shared" si="13" ref="C53:C61">F40-F$42</f>
        <v>-1.4290370143188196</v>
      </c>
      <c r="D53" s="4">
        <f aca="true" t="shared" si="14" ref="D53:D61">G40-G$42</f>
        <v>-0.03352519235411889</v>
      </c>
      <c r="E53" s="25"/>
      <c r="F53" s="4"/>
      <c r="G53" s="4"/>
      <c r="H53" s="4"/>
      <c r="I53" s="4"/>
      <c r="J53" s="4"/>
    </row>
    <row r="54" spans="1:10" ht="12.75" customHeight="1">
      <c r="A54" s="31" t="s">
        <v>47</v>
      </c>
      <c r="B54" s="4">
        <f t="shared" si="12"/>
        <v>0.901675349274444</v>
      </c>
      <c r="C54" s="4">
        <f t="shared" si="13"/>
        <v>-0.8987003785285991</v>
      </c>
      <c r="D54" s="4">
        <f t="shared" si="14"/>
        <v>-0.04074441363957441</v>
      </c>
      <c r="E54" s="4"/>
      <c r="F54" s="4"/>
      <c r="G54" s="4"/>
      <c r="H54" s="4"/>
      <c r="I54" s="4"/>
      <c r="J54" s="4"/>
    </row>
    <row r="55" spans="1:10" ht="12.75" customHeight="1">
      <c r="A55" s="20" t="s">
        <v>55</v>
      </c>
      <c r="B55" s="4">
        <f t="shared" si="12"/>
        <v>0</v>
      </c>
      <c r="C55" s="4">
        <f t="shared" si="13"/>
        <v>0</v>
      </c>
      <c r="D55" s="4">
        <f t="shared" si="14"/>
        <v>0</v>
      </c>
      <c r="E55" s="4"/>
      <c r="F55" s="4"/>
      <c r="G55" s="4"/>
      <c r="H55" s="4"/>
      <c r="I55" s="4"/>
      <c r="J55" s="4"/>
    </row>
    <row r="56" spans="1:10" ht="12.75" customHeight="1">
      <c r="A56" s="20" t="s">
        <v>48</v>
      </c>
      <c r="B56" s="4">
        <f t="shared" si="12"/>
        <v>-1.1341161859084659</v>
      </c>
      <c r="C56" s="4">
        <f t="shared" si="13"/>
        <v>-1.8600449692588845</v>
      </c>
      <c r="D56" s="4">
        <f t="shared" si="14"/>
        <v>0.013601325771469715</v>
      </c>
      <c r="E56" s="4"/>
      <c r="F56" s="4"/>
      <c r="G56" s="4"/>
      <c r="H56" s="4"/>
      <c r="I56" s="4"/>
      <c r="J56" s="4"/>
    </row>
    <row r="57" spans="1:10" ht="12.75" customHeight="1">
      <c r="A57" s="20" t="s">
        <v>49</v>
      </c>
      <c r="B57" s="4">
        <f t="shared" si="12"/>
        <v>0.7186771728827894</v>
      </c>
      <c r="C57" s="4">
        <f t="shared" si="13"/>
        <v>-6.168389774445763</v>
      </c>
      <c r="D57" s="4">
        <f t="shared" si="14"/>
        <v>0.00960059636433313</v>
      </c>
      <c r="E57" s="4"/>
      <c r="F57" s="4"/>
      <c r="G57" s="4"/>
      <c r="H57" s="4"/>
      <c r="I57" s="4"/>
      <c r="J57" s="4"/>
    </row>
    <row r="58" spans="1:10" ht="12.75" customHeight="1">
      <c r="A58" s="20" t="s">
        <v>50</v>
      </c>
      <c r="B58" s="4">
        <f t="shared" si="12"/>
        <v>3.8522497821243245</v>
      </c>
      <c r="C58" s="4">
        <f t="shared" si="13"/>
        <v>-10.378385300507112</v>
      </c>
      <c r="D58" s="4">
        <f t="shared" si="14"/>
        <v>0.017989983535644884</v>
      </c>
      <c r="E58" s="4"/>
      <c r="F58" s="4"/>
      <c r="G58" s="4"/>
      <c r="H58" s="4"/>
      <c r="I58" s="4"/>
      <c r="J58" s="4"/>
    </row>
    <row r="59" spans="1:10" ht="12.75" customHeight="1">
      <c r="A59" s="20" t="s">
        <v>51</v>
      </c>
      <c r="B59" s="4">
        <f t="shared" si="12"/>
        <v>16.35085348221604</v>
      </c>
      <c r="C59" s="4">
        <f t="shared" si="13"/>
        <v>10.40883849185134</v>
      </c>
      <c r="D59" s="4">
        <f t="shared" si="14"/>
        <v>-0.16670584499494542</v>
      </c>
      <c r="E59" s="4"/>
      <c r="F59" s="4"/>
      <c r="G59" s="4"/>
      <c r="H59" s="4"/>
      <c r="I59" s="4"/>
      <c r="J59" s="4"/>
    </row>
    <row r="60" spans="1:10" ht="12.75" customHeight="1">
      <c r="A60" s="20" t="s">
        <v>52</v>
      </c>
      <c r="B60" s="4">
        <f t="shared" si="12"/>
        <v>29.393632957176504</v>
      </c>
      <c r="C60" s="4">
        <f t="shared" si="13"/>
        <v>-7.329150959811745</v>
      </c>
      <c r="D60" s="4">
        <f t="shared" si="14"/>
        <v>-0.5419110955708053</v>
      </c>
      <c r="E60" s="4"/>
      <c r="F60" s="4"/>
      <c r="G60" s="4"/>
      <c r="H60" s="4"/>
      <c r="I60" s="4"/>
      <c r="J60" s="4"/>
    </row>
    <row r="61" spans="1:10" ht="12.75" customHeight="1">
      <c r="A61" s="20" t="s">
        <v>53</v>
      </c>
      <c r="B61" s="4">
        <f t="shared" si="12"/>
        <v>13.156946848855366</v>
      </c>
      <c r="C61" s="4">
        <f t="shared" si="13"/>
        <v>-32.35557154589569</v>
      </c>
      <c r="D61" s="4">
        <f t="shared" si="14"/>
        <v>-0.39780735468461464</v>
      </c>
      <c r="E61" s="4"/>
      <c r="F61" s="4"/>
      <c r="G61" s="4"/>
      <c r="H61" s="4"/>
      <c r="I61" s="4"/>
      <c r="J61" s="4"/>
    </row>
    <row r="62" spans="1:10" ht="12.75" customHeight="1">
      <c r="A62" s="3"/>
      <c r="B62" s="4"/>
      <c r="C62" s="4"/>
      <c r="D62" s="4"/>
      <c r="E62" s="4"/>
      <c r="F62" s="4"/>
      <c r="G62" s="4"/>
      <c r="H62" s="4"/>
      <c r="I62" s="4"/>
      <c r="J62" s="4"/>
    </row>
    <row r="63" ht="12.75" customHeight="1">
      <c r="A63" s="2" t="s">
        <v>105</v>
      </c>
    </row>
    <row r="65" spans="1:8" ht="12.75" customHeight="1">
      <c r="A65" s="16"/>
      <c r="B65" s="19" t="s">
        <v>106</v>
      </c>
      <c r="C65" s="38" t="s">
        <v>107</v>
      </c>
      <c r="D65" s="38" t="s">
        <v>108</v>
      </c>
      <c r="E65" s="38" t="s">
        <v>102</v>
      </c>
      <c r="F65" s="19" t="s">
        <v>109</v>
      </c>
      <c r="G65" s="19" t="s">
        <v>110</v>
      </c>
      <c r="H65" s="19" t="s">
        <v>111</v>
      </c>
    </row>
    <row r="66" spans="1:8" ht="12.75" customHeight="1">
      <c r="A66" s="31" t="s">
        <v>46</v>
      </c>
      <c r="B66" s="4">
        <f aca="true" t="shared" si="15" ref="B66:B67">B53</f>
        <v>0.13399728641089426</v>
      </c>
      <c r="C66" s="4">
        <f aca="true" t="shared" si="16" ref="C66:C67">C53*COS(RADIANS(23.439292))-D53*SIN(RADIANS(23.439292))</f>
        <v>-1.29778026170776</v>
      </c>
      <c r="D66" s="4">
        <f aca="true" t="shared" si="17" ref="D66:D67">C53*SIN(RADIANS(23.439292))+D53*COS(RADIANS(23.439292))</f>
        <v>-0.5991970620233085</v>
      </c>
      <c r="E66" s="25">
        <f aca="true" t="shared" si="18" ref="E66:E67">SQRT(B66*B66+C66*C66+D66*D66)</f>
        <v>1.4356970431052334</v>
      </c>
      <c r="F66" s="4">
        <f aca="true" t="shared" si="19" ref="F66:F67">IF(B66&lt;0,MOD(180+DEGREES(ATAN(C66/B66)),360),IF(C66&lt;0,MOD(360+DEGREES(ATAN(C66/B66)),360),MOD(DEGREES(ATAN(C66/B66)),360)))</f>
        <v>275.89496520829755</v>
      </c>
      <c r="G66" s="41">
        <f aca="true" t="shared" si="20" ref="G66:G67">F66/15</f>
        <v>18.39299768055317</v>
      </c>
      <c r="H66" s="4">
        <f aca="true" t="shared" si="21" ref="H66:H67">DEGREES(ATAN(D66/SQRT(B66*B66+C66*C66)))</f>
        <v>-24.667785497018034</v>
      </c>
    </row>
    <row r="67" spans="1:8" ht="12.75" customHeight="1">
      <c r="A67" s="31" t="s">
        <v>47</v>
      </c>
      <c r="B67" s="4">
        <f t="shared" si="15"/>
        <v>0.901675349274444</v>
      </c>
      <c r="C67" s="4">
        <f t="shared" si="16"/>
        <v>-0.8083342733711631</v>
      </c>
      <c r="D67" s="4">
        <f t="shared" si="17"/>
        <v>-0.3948647617904053</v>
      </c>
      <c r="E67" s="25">
        <f t="shared" si="18"/>
        <v>1.2737114716840194</v>
      </c>
      <c r="F67" s="4">
        <f t="shared" si="19"/>
        <v>318.12439622678033</v>
      </c>
      <c r="G67" s="41">
        <f t="shared" si="20"/>
        <v>21.208293081785357</v>
      </c>
      <c r="H67" s="4">
        <f t="shared" si="21"/>
        <v>-18.059902616982004</v>
      </c>
    </row>
    <row r="68" spans="2:8" ht="12.75" customHeight="1">
      <c r="B68" s="4"/>
      <c r="C68" s="4"/>
      <c r="D68" s="4"/>
      <c r="E68" s="25"/>
      <c r="F68" s="4"/>
      <c r="G68" s="41"/>
      <c r="H68" s="4"/>
    </row>
    <row r="69" spans="1:8" ht="12.75" customHeight="1">
      <c r="A69" s="20" t="s">
        <v>48</v>
      </c>
      <c r="B69" s="4">
        <f aca="true" t="shared" si="22" ref="B69:B74">B56</f>
        <v>-1.1341161859084659</v>
      </c>
      <c r="C69" s="4">
        <f aca="true" t="shared" si="23" ref="C69:C74">C56*COS(RADIANS(23.439292))-D56*SIN(RADIANS(23.439292))</f>
        <v>-1.711968179334348</v>
      </c>
      <c r="D69" s="4">
        <f aca="true" t="shared" si="24" ref="D69:D74">C56*SIN(RADIANS(23.439292))+D56*COS(RADIANS(23.439292))</f>
        <v>-0.7274044519211191</v>
      </c>
      <c r="E69" s="25">
        <f aca="true" t="shared" si="25" ref="E69:E74">SQRT(B69*B69+C69*C69+D69*D69)</f>
        <v>2.1785710470093904</v>
      </c>
      <c r="F69" s="4">
        <f aca="true" t="shared" si="26" ref="F69:F74">IF(B69&lt;0,MOD(180+DEGREES(ATAN(C69/B69)),360),IF(C69&lt;0,MOD(360+DEGREES(ATAN(C69/B69)),360),MOD(DEGREES(ATAN(C69/B69)),360)))</f>
        <v>236.47698589201957</v>
      </c>
      <c r="G69" s="41">
        <f aca="true" t="shared" si="27" ref="G69:G74">F69/15</f>
        <v>15.765132392801304</v>
      </c>
      <c r="H69" s="4">
        <f aca="true" t="shared" si="28" ref="H69:H74">DEGREES(ATAN(D69/SQRT(B69*B69+C69*C69)))</f>
        <v>-19.50509163940429</v>
      </c>
    </row>
    <row r="70" spans="1:8" ht="12.75" customHeight="1">
      <c r="A70" s="20" t="s">
        <v>49</v>
      </c>
      <c r="B70" s="4">
        <f t="shared" si="22"/>
        <v>0.7186771728827894</v>
      </c>
      <c r="C70" s="4">
        <f t="shared" si="23"/>
        <v>-5.6632058298927275</v>
      </c>
      <c r="D70" s="4">
        <f t="shared" si="24"/>
        <v>-2.444836254068281</v>
      </c>
      <c r="E70" s="25">
        <f t="shared" si="25"/>
        <v>6.210122499577637</v>
      </c>
      <c r="F70" s="4">
        <f t="shared" si="26"/>
        <v>277.23234117098497</v>
      </c>
      <c r="G70" s="41">
        <f t="shared" si="27"/>
        <v>18.482156078065664</v>
      </c>
      <c r="H70" s="4">
        <f t="shared" si="28"/>
        <v>-23.184028018008313</v>
      </c>
    </row>
    <row r="71" spans="1:8" ht="12.75" customHeight="1">
      <c r="A71" s="20" t="s">
        <v>50</v>
      </c>
      <c r="B71" s="4">
        <f t="shared" si="22"/>
        <v>3.8522497821243245</v>
      </c>
      <c r="C71" s="4">
        <f t="shared" si="23"/>
        <v>-9.529138287153524</v>
      </c>
      <c r="D71" s="4">
        <f t="shared" si="24"/>
        <v>-4.111779248645836</v>
      </c>
      <c r="E71" s="25">
        <f t="shared" si="25"/>
        <v>11.07027702766135</v>
      </c>
      <c r="F71" s="4">
        <f t="shared" si="26"/>
        <v>292.011515465947</v>
      </c>
      <c r="G71" s="41">
        <f t="shared" si="27"/>
        <v>19.467434364396468</v>
      </c>
      <c r="H71" s="4">
        <f t="shared" si="28"/>
        <v>-21.80353653448369</v>
      </c>
    </row>
    <row r="72" spans="1:8" ht="12.75" customHeight="1">
      <c r="A72" s="20" t="s">
        <v>51</v>
      </c>
      <c r="B72" s="4">
        <f t="shared" si="22"/>
        <v>16.35085348221604</v>
      </c>
      <c r="C72" s="4">
        <f t="shared" si="23"/>
        <v>9.616234318286727</v>
      </c>
      <c r="D72" s="4">
        <f t="shared" si="24"/>
        <v>3.9874486986049305</v>
      </c>
      <c r="E72" s="25">
        <f t="shared" si="25"/>
        <v>19.383552800895348</v>
      </c>
      <c r="F72" s="4">
        <f t="shared" si="26"/>
        <v>30.46055982291493</v>
      </c>
      <c r="G72" s="41">
        <f t="shared" si="27"/>
        <v>2.0307039881943285</v>
      </c>
      <c r="H72" s="4">
        <f t="shared" si="28"/>
        <v>11.871240269393345</v>
      </c>
    </row>
    <row r="73" spans="1:8" ht="12.75" customHeight="1">
      <c r="A73" s="20" t="s">
        <v>52</v>
      </c>
      <c r="B73" s="4">
        <f t="shared" si="22"/>
        <v>29.393632957176504</v>
      </c>
      <c r="C73" s="4">
        <f t="shared" si="23"/>
        <v>-6.508804628517676</v>
      </c>
      <c r="D73" s="4">
        <f t="shared" si="24"/>
        <v>-3.412562634589884</v>
      </c>
      <c r="E73" s="25">
        <f t="shared" si="25"/>
        <v>30.298445172127643</v>
      </c>
      <c r="F73" s="4">
        <f t="shared" si="26"/>
        <v>347.5141339850259</v>
      </c>
      <c r="G73" s="41">
        <f t="shared" si="27"/>
        <v>23.16760893233506</v>
      </c>
      <c r="H73" s="4">
        <f t="shared" si="28"/>
        <v>-6.4670386592772475</v>
      </c>
    </row>
    <row r="74" spans="1:8" ht="12.75" customHeight="1">
      <c r="A74" s="20" t="s">
        <v>53</v>
      </c>
      <c r="B74" s="4">
        <f t="shared" si="22"/>
        <v>13.156946848855366</v>
      </c>
      <c r="C74" s="4">
        <f t="shared" si="23"/>
        <v>-29.52741761786731</v>
      </c>
      <c r="D74" s="4">
        <f t="shared" si="24"/>
        <v>-13.23528879824974</v>
      </c>
      <c r="E74" s="25">
        <f t="shared" si="25"/>
        <v>34.930595631002646</v>
      </c>
      <c r="F74" s="4">
        <f t="shared" si="26"/>
        <v>294.0169910971467</v>
      </c>
      <c r="G74" s="41">
        <f t="shared" si="27"/>
        <v>19.601132739809778</v>
      </c>
      <c r="H74" s="4">
        <f t="shared" si="28"/>
        <v>-22.26571539120182</v>
      </c>
    </row>
    <row r="76" ht="12.75" customHeight="1">
      <c r="A76" s="2" t="s">
        <v>112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I18" sqref="I18"/>
    </sheetView>
  </sheetViews>
  <sheetFormatPr defaultColWidth="11.421875" defaultRowHeight="12.75" customHeight="1"/>
  <cols>
    <col min="1" max="1" width="27.8515625" style="0" customWidth="1"/>
    <col min="2" max="2" width="12.00390625" style="0" customWidth="1"/>
    <col min="3" max="3" width="9.00390625" style="0" customWidth="1"/>
    <col min="4" max="4" width="22.421875" style="0" customWidth="1"/>
    <col min="5" max="5" width="9.57421875" style="0" customWidth="1"/>
    <col min="6" max="6" width="11.28125" style="0" customWidth="1"/>
    <col min="7" max="64" width="9.00390625" style="0" customWidth="1"/>
  </cols>
  <sheetData>
    <row r="1" ht="18" customHeight="1">
      <c r="A1" s="1" t="s">
        <v>115</v>
      </c>
    </row>
    <row r="2" ht="12.75" customHeight="1">
      <c r="A2" s="14" t="s">
        <v>116</v>
      </c>
    </row>
    <row r="4" spans="1:4" ht="12.75" customHeight="1">
      <c r="A4" s="2" t="s">
        <v>1</v>
      </c>
      <c r="D4" s="2" t="s">
        <v>115</v>
      </c>
    </row>
    <row r="5" spans="1:6" ht="12.75" customHeight="1">
      <c r="A5" s="3" t="s">
        <v>3</v>
      </c>
      <c r="B5" s="4">
        <v>-1.9167</v>
      </c>
      <c r="D5" s="3" t="s">
        <v>117</v>
      </c>
      <c r="E5" s="41">
        <f>B26</f>
        <v>281.4846055180521</v>
      </c>
      <c r="F5" s="3" t="s">
        <v>118</v>
      </c>
    </row>
    <row r="6" spans="1:6" ht="12.75" customHeight="1">
      <c r="A6" s="3" t="s">
        <v>5</v>
      </c>
      <c r="B6" s="4">
        <v>52.5</v>
      </c>
      <c r="D6" s="3" t="s">
        <v>119</v>
      </c>
      <c r="E6" s="41">
        <v>0</v>
      </c>
      <c r="F6" s="3" t="s">
        <v>120</v>
      </c>
    </row>
    <row r="7" spans="1:7" ht="12.75" customHeight="1">
      <c r="A7" s="3" t="s">
        <v>7</v>
      </c>
      <c r="B7" s="6">
        <v>0</v>
      </c>
      <c r="D7" s="3" t="s">
        <v>121</v>
      </c>
      <c r="E7" s="41">
        <f>B30/15</f>
        <v>18.83231659406463</v>
      </c>
      <c r="F7" s="3" t="s">
        <v>122</v>
      </c>
      <c r="G7">
        <f>E7*15</f>
        <v>282.4847489109694</v>
      </c>
    </row>
    <row r="8" spans="1:6" ht="12.75" customHeight="1">
      <c r="A8" s="3" t="s">
        <v>9</v>
      </c>
      <c r="B8" s="6">
        <v>0</v>
      </c>
      <c r="D8" s="3" t="s">
        <v>123</v>
      </c>
      <c r="E8" s="41">
        <f>B31</f>
        <v>-22.94086511311331</v>
      </c>
      <c r="F8" s="3" t="s">
        <v>118</v>
      </c>
    </row>
    <row r="9" spans="1:6" ht="12.75" customHeight="1">
      <c r="A9" s="3"/>
      <c r="B9" s="6"/>
      <c r="D9" s="3" t="s">
        <v>124</v>
      </c>
      <c r="E9" s="6">
        <f>C32</f>
        <v>-3.782189243879202</v>
      </c>
      <c r="F9" s="3" t="s">
        <v>125</v>
      </c>
    </row>
    <row r="10" spans="1:6" ht="12.75" customHeight="1">
      <c r="A10" s="7" t="s">
        <v>10</v>
      </c>
      <c r="B10" s="4"/>
      <c r="D10" s="3" t="s">
        <v>126</v>
      </c>
      <c r="E10" s="5">
        <f>B33</f>
        <v>0.983296735667777</v>
      </c>
      <c r="F10" s="3" t="s">
        <v>127</v>
      </c>
    </row>
    <row r="11" spans="1:6" ht="12.75" customHeight="1">
      <c r="A11" s="3" t="s">
        <v>11</v>
      </c>
      <c r="B11" s="8">
        <v>2012</v>
      </c>
      <c r="D11" s="3" t="s">
        <v>128</v>
      </c>
      <c r="E11" s="41">
        <f>B34*60</f>
        <v>16.26772409565337</v>
      </c>
      <c r="F11" s="3" t="s">
        <v>129</v>
      </c>
    </row>
    <row r="12" spans="1:2" ht="12.75" customHeight="1">
      <c r="A12" s="3" t="s">
        <v>12</v>
      </c>
      <c r="B12" s="9">
        <v>1</v>
      </c>
    </row>
    <row r="13" spans="1:4" ht="12.75" customHeight="1">
      <c r="A13" s="3" t="s">
        <v>13</v>
      </c>
      <c r="B13" s="9">
        <v>2</v>
      </c>
      <c r="D13" s="2" t="s">
        <v>130</v>
      </c>
    </row>
    <row r="14" spans="1:4" ht="12.75" customHeight="1">
      <c r="A14" s="3" t="s">
        <v>14</v>
      </c>
      <c r="B14" s="9">
        <v>12</v>
      </c>
      <c r="D14" s="14" t="s">
        <v>131</v>
      </c>
    </row>
    <row r="15" spans="1:2" ht="12.75" customHeight="1">
      <c r="A15" s="3" t="s">
        <v>15</v>
      </c>
      <c r="B15" s="9">
        <v>0</v>
      </c>
    </row>
    <row r="17" ht="12.75" customHeight="1">
      <c r="A17" s="2" t="s">
        <v>2</v>
      </c>
    </row>
    <row r="18" spans="1:2" ht="12.75" customHeight="1">
      <c r="A18" s="3" t="s">
        <v>4</v>
      </c>
      <c r="B18" s="5">
        <f>367*B11-INT(7*(B11+INT((B12+9)/12))/4)+INT(275*B12/9)+B13+(B14+B15/60)/24-730531.5+(-B7+B8)/24</f>
        <v>4384</v>
      </c>
    </row>
    <row r="19" spans="1:6" ht="12.75" customHeight="1">
      <c r="A19" s="3" t="s">
        <v>6</v>
      </c>
      <c r="B19" s="5">
        <f>B18/36525</f>
        <v>0.12002737850787132</v>
      </c>
      <c r="F19" s="42"/>
    </row>
    <row r="20" spans="1:2" ht="12.75" customHeight="1">
      <c r="A20" s="3" t="s">
        <v>8</v>
      </c>
      <c r="B20" s="5">
        <f>MOD(280.46061837+360.98564736629*B18+B5,360)</f>
        <v>279.62197218532674</v>
      </c>
    </row>
    <row r="23" spans="1:5" ht="12.75" customHeight="1">
      <c r="A23" s="2" t="s">
        <v>132</v>
      </c>
      <c r="B23" t="s">
        <v>133</v>
      </c>
      <c r="C23" t="s">
        <v>134</v>
      </c>
      <c r="D23" t="s">
        <v>21</v>
      </c>
      <c r="E23" t="s">
        <v>20</v>
      </c>
    </row>
    <row r="24" spans="1:5" ht="12.75" customHeight="1">
      <c r="A24" s="3" t="s">
        <v>135</v>
      </c>
      <c r="B24" s="43">
        <f>MOD(280.461+0.9856474*$B$18,360)</f>
        <v>281.5392015999996</v>
      </c>
      <c r="C24" s="43">
        <f aca="true" t="shared" si="0" ref="C24:C26">RADIANS(B24)</f>
        <v>4.913786041356081</v>
      </c>
      <c r="D24" s="43">
        <f aca="true" t="shared" si="1" ref="D24:D26">COS(C24)</f>
        <v>0.20003834923561023</v>
      </c>
      <c r="E24" s="43">
        <f aca="true" t="shared" si="2" ref="E24:E26">SIN(C24)</f>
        <v>-0.9797880683265601</v>
      </c>
    </row>
    <row r="25" spans="1:5" ht="12.75" customHeight="1">
      <c r="A25" s="3" t="s">
        <v>136</v>
      </c>
      <c r="B25" s="43">
        <f>MOD(357.528+0.9856003*$B$18,360)</f>
        <v>358.3997152000002</v>
      </c>
      <c r="C25" s="43">
        <f t="shared" si="0"/>
        <v>6.25525506844997</v>
      </c>
      <c r="D25" s="43">
        <f t="shared" si="1"/>
        <v>0.9996099762379796</v>
      </c>
      <c r="E25" s="43">
        <f t="shared" si="2"/>
        <v>-0.0279266074829307</v>
      </c>
    </row>
    <row r="26" spans="1:5" ht="12.75" customHeight="1">
      <c r="A26" s="3" t="s">
        <v>117</v>
      </c>
      <c r="B26" s="43">
        <f>MOD(B24+1.915*SIN(C25)+0.02*SIN(2*C25),360)</f>
        <v>281.4846055180521</v>
      </c>
      <c r="C26" s="43">
        <f t="shared" si="0"/>
        <v>4.912833159967407</v>
      </c>
      <c r="D26" s="43">
        <f t="shared" si="1"/>
        <v>0.19910463674604512</v>
      </c>
      <c r="E26" s="43">
        <f t="shared" si="2"/>
        <v>-0.97997823630233</v>
      </c>
    </row>
    <row r="27" spans="1:5" ht="12.75" customHeight="1">
      <c r="A27" s="3" t="s">
        <v>119</v>
      </c>
      <c r="B27" s="43">
        <v>0</v>
      </c>
      <c r="C27" s="43"/>
      <c r="D27" s="43"/>
      <c r="E27" s="43"/>
    </row>
    <row r="28" spans="1:5" ht="12.75" customHeight="1">
      <c r="A28" s="3" t="s">
        <v>137</v>
      </c>
      <c r="B28" s="43">
        <f>23.439-0.0000004*$B$18</f>
        <v>23.4372464</v>
      </c>
      <c r="C28" s="43">
        <f>RADIANS(B28)</f>
        <v>0.4090571172811879</v>
      </c>
      <c r="D28" s="43">
        <f>COS(C28)</f>
        <v>0.9174962569348966</v>
      </c>
      <c r="E28" s="43">
        <f>SIN(C28)</f>
        <v>0.3977444135502775</v>
      </c>
    </row>
    <row r="29" spans="1:5" ht="12.75" customHeight="1">
      <c r="A29" s="3" t="s">
        <v>138</v>
      </c>
      <c r="B29" s="43">
        <f>180/3.14159265358979</f>
        <v>57.29577951308238</v>
      </c>
      <c r="C29" s="43">
        <f>(TAN(C28/2))^2</f>
        <v>0.043026807883831286</v>
      </c>
      <c r="D29" s="43"/>
      <c r="E29" s="43"/>
    </row>
    <row r="30" spans="1:5" ht="12.75" customHeight="1">
      <c r="A30" s="3" t="s">
        <v>121</v>
      </c>
      <c r="B30" s="43">
        <f>B26-B29*C29*SIN(2*C26)+0.5*B29*C29^2*SIN(4*C26)</f>
        <v>282.4847489109694</v>
      </c>
      <c r="C30" s="43"/>
      <c r="D30" s="43"/>
      <c r="E30" s="43"/>
    </row>
    <row r="31" spans="1:5" ht="12.75" customHeight="1">
      <c r="A31" s="3" t="s">
        <v>123</v>
      </c>
      <c r="B31" s="43">
        <f>DEGREES(C31)</f>
        <v>-22.94086511311331</v>
      </c>
      <c r="C31" s="43">
        <f>ASIN(E28*E26)</f>
        <v>-0.4003936294797287</v>
      </c>
      <c r="D31" s="43"/>
      <c r="E31" s="43"/>
    </row>
    <row r="32" spans="1:5" ht="12.75" customHeight="1">
      <c r="A32" s="3" t="s">
        <v>139</v>
      </c>
      <c r="B32" s="43">
        <f>B24-B30</f>
        <v>-0.9455473109698005</v>
      </c>
      <c r="C32" s="43">
        <f>B32*4</f>
        <v>-3.782189243879202</v>
      </c>
      <c r="D32" s="43"/>
      <c r="E32" s="43"/>
    </row>
    <row r="33" spans="1:2" ht="12.75" customHeight="1">
      <c r="A33" s="3" t="s">
        <v>140</v>
      </c>
      <c r="B33">
        <f>1.00014-0.01671*COS(C25)-0.00014*COS(2*C25)</f>
        <v>0.983296735667777</v>
      </c>
    </row>
    <row r="34" spans="1:2" ht="12.75" customHeight="1">
      <c r="A34" s="3" t="s">
        <v>141</v>
      </c>
      <c r="B34">
        <f>0.2666/B33</f>
        <v>0.2711287349275562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B16" sqref="B16"/>
    </sheetView>
  </sheetViews>
  <sheetFormatPr defaultColWidth="11.421875" defaultRowHeight="12.75" customHeight="1"/>
  <cols>
    <col min="1" max="1" width="17.57421875" style="0" customWidth="1"/>
    <col min="2" max="2" width="9.00390625" style="0" customWidth="1"/>
    <col min="3" max="3" width="10.57421875" style="0" customWidth="1"/>
    <col min="4" max="4" width="12.28125" style="0" customWidth="1"/>
    <col min="5" max="5" width="10.140625" style="0" customWidth="1"/>
    <col min="6" max="6" width="9.00390625" style="0" customWidth="1"/>
    <col min="7" max="7" width="19.421875" style="0" customWidth="1"/>
    <col min="8" max="11" width="9.00390625" style="0" customWidth="1"/>
    <col min="12" max="12" width="17.140625" style="0" customWidth="1"/>
    <col min="13" max="13" width="16.57421875" style="0" customWidth="1"/>
    <col min="14" max="64" width="9.00390625" style="0" customWidth="1"/>
  </cols>
  <sheetData>
    <row r="1" ht="18" customHeight="1">
      <c r="A1" s="1" t="s">
        <v>142</v>
      </c>
    </row>
    <row r="2" spans="1:13" ht="12.75" customHeight="1">
      <c r="A2" s="44" t="s">
        <v>143</v>
      </c>
      <c r="K2" s="15"/>
      <c r="L2" s="45"/>
      <c r="M2" s="46"/>
    </row>
    <row r="3" spans="4:11" ht="12.75" customHeight="1">
      <c r="D3" s="47"/>
      <c r="K3" s="15"/>
    </row>
    <row r="4" spans="1:6" ht="12.75" customHeight="1">
      <c r="A4" s="48" t="s">
        <v>1</v>
      </c>
      <c r="D4" s="49" t="s">
        <v>144</v>
      </c>
      <c r="E4" s="10" t="s">
        <v>122</v>
      </c>
      <c r="F4" s="10" t="s">
        <v>145</v>
      </c>
    </row>
    <row r="5" spans="1:8" ht="12.75" customHeight="1">
      <c r="A5" s="3" t="s">
        <v>3</v>
      </c>
      <c r="B5" s="4">
        <v>-1.9167</v>
      </c>
      <c r="D5" s="3" t="s">
        <v>146</v>
      </c>
      <c r="E5" s="41">
        <f>E32*57.29577951/15</f>
        <v>8.304937373614816</v>
      </c>
      <c r="F5" s="50">
        <f aca="true" t="shared" si="0" ref="F5:F6">E5/24</f>
        <v>0.3460390572339507</v>
      </c>
      <c r="H5" s="3"/>
    </row>
    <row r="6" spans="1:8" ht="12.75" customHeight="1">
      <c r="A6" s="3" t="s">
        <v>5</v>
      </c>
      <c r="B6" s="4">
        <v>52.5</v>
      </c>
      <c r="D6" s="3" t="s">
        <v>147</v>
      </c>
      <c r="E6" s="41">
        <f>E5+B7+B8</f>
        <v>8.304937373614816</v>
      </c>
      <c r="F6" s="50">
        <f t="shared" si="0"/>
        <v>0.3460390572339507</v>
      </c>
      <c r="H6" s="3"/>
    </row>
    <row r="7" spans="1:5" ht="12.75" customHeight="1">
      <c r="A7" s="3" t="s">
        <v>148</v>
      </c>
      <c r="B7">
        <v>0</v>
      </c>
      <c r="D7" s="3" t="s">
        <v>149</v>
      </c>
      <c r="E7" s="4">
        <f>367*B10-INT(7*(B10+INT((B11+9)/12))/4)+INT(275*B11/9)+B12-730531.5+(-B7+B8)/24</f>
        <v>7305.5</v>
      </c>
    </row>
    <row r="8" spans="1:5" ht="12.75" customHeight="1">
      <c r="A8" s="3" t="s">
        <v>9</v>
      </c>
      <c r="B8">
        <v>0</v>
      </c>
      <c r="D8" s="3" t="s">
        <v>150</v>
      </c>
      <c r="E8" s="43">
        <f>E7/36525</f>
        <v>0.20001368925393567</v>
      </c>
    </row>
    <row r="9" ht="12.75" customHeight="1">
      <c r="A9" s="2" t="s">
        <v>151</v>
      </c>
    </row>
    <row r="10" spans="1:2" ht="12.75" customHeight="1">
      <c r="A10" s="3" t="s">
        <v>11</v>
      </c>
      <c r="B10">
        <v>2020</v>
      </c>
    </row>
    <row r="11" spans="1:2" ht="12.75" customHeight="1">
      <c r="A11" s="3" t="s">
        <v>12</v>
      </c>
      <c r="B11">
        <v>1</v>
      </c>
    </row>
    <row r="12" spans="1:2" ht="12.75" customHeight="1">
      <c r="A12" s="3" t="s">
        <v>13</v>
      </c>
      <c r="B12">
        <v>2</v>
      </c>
    </row>
    <row r="13" spans="1:4" ht="12.75" customHeight="1">
      <c r="A13" s="2" t="s">
        <v>152</v>
      </c>
      <c r="D13" s="49" t="s">
        <v>153</v>
      </c>
    </row>
    <row r="14" spans="1:4" ht="12.75" customHeight="1">
      <c r="A14" s="3" t="s">
        <v>154</v>
      </c>
      <c r="B14">
        <v>-0.833</v>
      </c>
      <c r="D14" t="s">
        <v>155</v>
      </c>
    </row>
    <row r="15" spans="1:4" ht="12.75" customHeight="1">
      <c r="A15" s="3" t="s">
        <v>156</v>
      </c>
      <c r="B15">
        <v>1</v>
      </c>
      <c r="D15" t="s">
        <v>157</v>
      </c>
    </row>
    <row r="16" ht="12.75" customHeight="1">
      <c r="D16" t="s">
        <v>158</v>
      </c>
    </row>
    <row r="20" ht="12.75" customHeight="1">
      <c r="A20" s="49" t="s">
        <v>159</v>
      </c>
    </row>
    <row r="21" spans="1:5" ht="12.75" customHeight="1">
      <c r="A21" s="49"/>
      <c r="B21" t="s">
        <v>160</v>
      </c>
      <c r="C21" t="s">
        <v>161</v>
      </c>
      <c r="D21" t="s">
        <v>162</v>
      </c>
      <c r="E21" t="s">
        <v>163</v>
      </c>
    </row>
    <row r="22" spans="1:7" ht="12.75" customHeight="1">
      <c r="A22" s="3" t="s">
        <v>61</v>
      </c>
      <c r="B22" s="5">
        <f>MOD(4.8949504201433+628.331969753199*$E$8,6.28318530718)</f>
        <v>4.906239623072963</v>
      </c>
      <c r="C22" s="5">
        <f>MOD(4.8949504201433+628.331969753199*B33,6.28318530718)</f>
        <v>4.912193060056865</v>
      </c>
      <c r="D22" s="5">
        <f>MOD(4.8949504201433+628.331969753199*C33,6.28318530718)</f>
        <v>4.9121924608579945</v>
      </c>
      <c r="E22" s="5">
        <f>MOD(4.8949504201433+628.331969753199*D33,6.28318530718)</f>
        <v>4.912192460922512</v>
      </c>
      <c r="G22" t="s">
        <v>164</v>
      </c>
    </row>
    <row r="23" spans="1:7" ht="12.75" customHeight="1">
      <c r="A23" s="3" t="s">
        <v>165</v>
      </c>
      <c r="B23" s="5">
        <f>MOD(6.2400408+628.3019501*$E$8,6.28318530718)</f>
        <v>6.245325661343202</v>
      </c>
      <c r="C23" s="5">
        <f>MOD(6.2400408+628.3019501*B33,2*PI())</f>
        <v>6.2512788138995745</v>
      </c>
      <c r="D23" s="5">
        <f>MOD(6.2400408+628.3019501*C33,2*PI())</f>
        <v>6.251278214729325</v>
      </c>
      <c r="E23" s="5">
        <f>MOD(6.2400408+628.3019501*D33,2*PI())</f>
        <v>6.251278214793842</v>
      </c>
      <c r="G23" t="s">
        <v>166</v>
      </c>
    </row>
    <row r="24" spans="1:7" ht="12.75" customHeight="1">
      <c r="A24" s="3" t="s">
        <v>167</v>
      </c>
      <c r="B24" s="5">
        <f>0.033423*SIN(B23)+0.00034907*SIN(2*B23)</f>
        <v>-0.0012914867578597928</v>
      </c>
      <c r="C24" s="5">
        <f>0.033423*SIN(C23)+0.00034907*SIN(2*C23)</f>
        <v>-0.0010884898799332797</v>
      </c>
      <c r="D24" s="5">
        <f>0.033423*SIN(D23)+0.00034907*SIN(2*D23)</f>
        <v>-0.0010885103132609896</v>
      </c>
      <c r="E24" s="5">
        <f>0.033423*SIN(E23)+0.00034907*SIN(2*E23)</f>
        <v>-0.0010885103110607757</v>
      </c>
      <c r="G24" t="s">
        <v>168</v>
      </c>
    </row>
    <row r="25" spans="1:5" ht="12.75" customHeight="1">
      <c r="A25" s="3" t="s">
        <v>169</v>
      </c>
      <c r="B25" s="5">
        <f>B22+B24</f>
        <v>4.904948136315103</v>
      </c>
      <c r="C25" s="5">
        <f>C22+C24</f>
        <v>4.911104570176931</v>
      </c>
      <c r="D25" s="5">
        <f>D22+D24</f>
        <v>4.911103950544733</v>
      </c>
      <c r="E25" s="5">
        <f>E22+E24</f>
        <v>4.911103950611451</v>
      </c>
    </row>
    <row r="26" spans="1:5" ht="12.75" customHeight="1">
      <c r="A26" s="3" t="s">
        <v>170</v>
      </c>
      <c r="B26" s="5">
        <f>0.0430398*SIN(2*B25)-0.00092502*SIN(4*B25)-B24</f>
        <v>-0.015521318768429559</v>
      </c>
      <c r="C26" s="5">
        <f>0.0430398*SIN(2*C25)-0.00092502*SIN(4*C25)-C24</f>
        <v>-0.016230357545804663</v>
      </c>
      <c r="D26" s="5">
        <f>0.0430398*SIN(2*D25)-0.00092502*SIN(4*D25)-D24</f>
        <v>-0.016230286326240538</v>
      </c>
      <c r="E26" s="5">
        <f>0.0430398*SIN(2*E25)-0.00092502*SIN(4*E25)-E24</f>
        <v>-0.016230286333909032</v>
      </c>
    </row>
    <row r="27" spans="1:5" ht="12.75" customHeight="1">
      <c r="A27" s="3" t="s">
        <v>171</v>
      </c>
      <c r="B27" s="5">
        <f>0.409093-0.0002269*$E$8</f>
        <v>0.4090476168939083</v>
      </c>
      <c r="C27" s="5">
        <f>0.409093-0.0002269*B33</f>
        <v>0.4090476147440338</v>
      </c>
      <c r="D27" s="5">
        <f>0.409093-0.0002269*C33</f>
        <v>0.40904761474425017</v>
      </c>
      <c r="E27" s="5">
        <f>0.409093-0.0002269*D33</f>
        <v>0.40904761474425017</v>
      </c>
    </row>
    <row r="28" spans="1:5" ht="12.75" customHeight="1">
      <c r="A28" s="3" t="s">
        <v>172</v>
      </c>
      <c r="B28" s="5">
        <f>ASIN(SIN(B27)*SIN(B25))</f>
        <v>-0.4010493322249236</v>
      </c>
      <c r="C28" s="5">
        <f>ASIN(SIN(C27)*SIN(C25))</f>
        <v>-0.40053236885566756</v>
      </c>
      <c r="D28" s="5">
        <f>ASIN(SIN(D27)*SIN(D25))</f>
        <v>-0.40053242168912034</v>
      </c>
      <c r="E28" s="5">
        <f>ASIN(SIN(E27)*SIN(E25))</f>
        <v>-0.40053242168343167</v>
      </c>
    </row>
    <row r="29" spans="1:5" ht="12.75" customHeight="1">
      <c r="A29" s="3" t="s">
        <v>173</v>
      </c>
      <c r="B29" s="5">
        <f>3.14159265358979-3.14159265358979+B26</f>
        <v>-0.015521318768429559</v>
      </c>
      <c r="C29" s="5">
        <f>B32-3.14159265358979+C26</f>
        <v>-0.9833766617508939</v>
      </c>
      <c r="D29" s="5">
        <f>C32-3.14159265358979+D26</f>
        <v>-0.9835954432369184</v>
      </c>
      <c r="E29" s="5">
        <f>D32-3.14159265358979+E26</f>
        <v>-0.9835954196815606</v>
      </c>
    </row>
    <row r="30" spans="1:5" ht="12.75" customHeight="1">
      <c r="A30" s="3" t="s">
        <v>174</v>
      </c>
      <c r="B30" s="5">
        <f>(SIN(0.017453293*$B$14)-SIN(0.017453293*$B$6)*SIN(B28))/(COS(0.017453293*$B$6)*COS(B28))</f>
        <v>0.5266678853646813</v>
      </c>
      <c r="C30" s="5">
        <f>(SIN(0.017453293*$B$14)-SIN(0.017453293*$B$6)*SIN(C28))/(COS(0.017453293*$B$6)*COS(C28))</f>
        <v>0.5258788849836967</v>
      </c>
      <c r="D30" s="5">
        <f>(SIN(0.017453293*$B$14)-SIN(0.017453293*$B$6)*SIN(D28))/(COS(0.017453293*$B$6)*COS(D28))</f>
        <v>0.5258789656019232</v>
      </c>
      <c r="E30" s="5">
        <f>(SIN(0.017453293*$B$14)-SIN(0.017453293*$B$6)*SIN(E28))/(COS(0.017453293*$B$6)*COS(E28))</f>
        <v>0.5258789655932428</v>
      </c>
    </row>
    <row r="31" spans="1:7" ht="12.75" customHeight="1">
      <c r="A31" s="3" t="s">
        <v>175</v>
      </c>
      <c r="B31" s="5">
        <f>ACOS(B30)</f>
        <v>1.0161203496666187</v>
      </c>
      <c r="C31" s="5">
        <f>ACOS(C30)</f>
        <v>1.0170482411495825</v>
      </c>
      <c r="D31" s="5">
        <f>ACOS(D30)</f>
        <v>1.0170481463669925</v>
      </c>
      <c r="E31" s="5">
        <f>ACOS(E30)</f>
        <v>1.0170481463771979</v>
      </c>
      <c r="G31" s="42"/>
    </row>
    <row r="32" spans="1:5" ht="12.75" customHeight="1">
      <c r="A32" s="3" t="s">
        <v>176</v>
      </c>
      <c r="B32" s="5">
        <f>3.14159265358979-(B29+0.017453293*$B$5+$B$15*B31)</f>
        <v>2.174446349384701</v>
      </c>
      <c r="C32" s="5">
        <f>B32-(C29+0.017453293*$B$5+$B$15*C31)</f>
        <v>2.174227496679112</v>
      </c>
      <c r="D32" s="5">
        <f>C32-(D29+0.017453293*$B$5+$B$15*D31)</f>
        <v>2.1742275202421384</v>
      </c>
      <c r="E32" s="5">
        <f>D32-(E29+0.017453293*$B$5+$B$15*E31)</f>
        <v>2.174227520239601</v>
      </c>
    </row>
    <row r="33" spans="1:5" ht="12.75" customHeight="1">
      <c r="A33" s="3" t="s">
        <v>177</v>
      </c>
      <c r="B33" s="5">
        <f>($E$7+B32/(6.28318530718))/36525</f>
        <v>0.20002316424052</v>
      </c>
      <c r="C33" s="5">
        <f>($E$7+C32/(2*PI()))/36525</f>
        <v>0.20002316328688577</v>
      </c>
      <c r="D33" s="5">
        <f>($E$7+D32/(2*PI()))/36525</f>
        <v>0.20002316328698844</v>
      </c>
      <c r="E33" s="5">
        <f>($E$7+E32/(2*PI()))/36525</f>
        <v>0.20002316328698844</v>
      </c>
    </row>
    <row r="35" spans="1:5" ht="12.75" customHeight="1">
      <c r="A35" s="3" t="s">
        <v>178</v>
      </c>
      <c r="C35" s="5">
        <f>(B33-C33)*36525*24*3600</f>
        <v>3.009440748642511</v>
      </c>
      <c r="D35" s="5">
        <f>(C33-D33)*36525*24*3600</f>
        <v>-0.0003239951706923705</v>
      </c>
      <c r="E35" s="5">
        <f>(D33-E33)*36525*24*3600</f>
        <v>0</v>
      </c>
    </row>
  </sheetData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83"/>
  <sheetViews>
    <sheetView showGridLines="0" tabSelected="1" workbookViewId="0" topLeftCell="A1">
      <selection activeCell="U9" sqref="U9"/>
    </sheetView>
  </sheetViews>
  <sheetFormatPr defaultColWidth="11.421875" defaultRowHeight="12.75" customHeight="1"/>
  <cols>
    <col min="1" max="1" width="7.8515625" style="0" customWidth="1"/>
    <col min="2" max="2" width="7.57421875" style="0" customWidth="1"/>
    <col min="3" max="3" width="9.00390625" style="0" customWidth="1"/>
    <col min="4" max="4" width="8.28125" style="0" customWidth="1"/>
    <col min="5" max="7" width="8.57421875" style="0" customWidth="1"/>
    <col min="8" max="8" width="10.00390625" style="0" customWidth="1"/>
    <col min="9" max="9" width="8.140625" style="0" customWidth="1"/>
    <col min="10" max="10" width="8.57421875" style="0" customWidth="1"/>
    <col min="11" max="11" width="8.421875" style="0" customWidth="1"/>
    <col min="12" max="12" width="6.00390625" style="0" customWidth="1"/>
    <col min="13" max="13" width="8.8515625" style="0" customWidth="1"/>
    <col min="14" max="14" width="8.57421875" style="0" customWidth="1"/>
    <col min="15" max="15" width="7.140625" style="0" customWidth="1"/>
    <col min="16" max="16" width="4.57421875" style="0" customWidth="1"/>
    <col min="17" max="17" width="5.57421875" style="0" customWidth="1"/>
    <col min="18" max="20" width="6.140625" style="0" customWidth="1"/>
    <col min="21" max="21" width="7.140625" style="0" customWidth="1"/>
    <col min="22" max="31" width="9.00390625" style="0" customWidth="1"/>
    <col min="32" max="32" width="10.00390625" style="0" customWidth="1"/>
    <col min="33" max="64" width="9.00390625" style="0" customWidth="1"/>
  </cols>
  <sheetData>
    <row r="1" spans="1:46" ht="18" customHeight="1">
      <c r="A1" s="51" t="s">
        <v>179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</row>
    <row r="2" spans="1:46" ht="12.75" customHeight="1">
      <c r="A2" s="53" t="s">
        <v>180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</row>
    <row r="3" spans="3:28" ht="12.75" customHeight="1"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</row>
    <row r="4" spans="1:28" ht="12.75" customHeight="1">
      <c r="A4" s="56" t="s">
        <v>181</v>
      </c>
      <c r="B4" s="56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7"/>
      <c r="P4" s="57"/>
      <c r="Q4" s="57"/>
      <c r="R4" s="57"/>
      <c r="S4" s="57"/>
      <c r="T4" s="57"/>
      <c r="U4" s="54"/>
      <c r="V4" s="54"/>
      <c r="W4" s="54"/>
      <c r="X4" s="54"/>
      <c r="Y4" s="54"/>
      <c r="Z4" s="54"/>
      <c r="AA4" s="54"/>
      <c r="AB4" s="54"/>
    </row>
    <row r="5" spans="1:28" ht="12.75" customHeight="1">
      <c r="A5" s="58" t="s">
        <v>182</v>
      </c>
      <c r="B5" s="59">
        <v>52.5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7"/>
      <c r="P5" s="57"/>
      <c r="Q5" s="57"/>
      <c r="R5" s="57"/>
      <c r="S5" s="57"/>
      <c r="T5" s="57"/>
      <c r="U5" s="54"/>
      <c r="V5" s="54"/>
      <c r="W5" s="54"/>
      <c r="X5" s="54"/>
      <c r="Y5" s="54"/>
      <c r="Z5" s="54"/>
      <c r="AA5" s="54"/>
      <c r="AB5" s="54"/>
    </row>
    <row r="6" spans="1:28" ht="12.75" customHeight="1">
      <c r="A6" s="58" t="s">
        <v>183</v>
      </c>
      <c r="B6" s="60">
        <v>-1.91667</v>
      </c>
      <c r="C6" s="55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7"/>
      <c r="P6" s="57"/>
      <c r="Q6" s="57"/>
      <c r="R6" s="57"/>
      <c r="S6" s="57"/>
      <c r="T6" s="57"/>
      <c r="U6" s="54"/>
      <c r="V6" s="54"/>
      <c r="W6" s="54"/>
      <c r="X6" s="54"/>
      <c r="Y6" s="54"/>
      <c r="Z6" s="54"/>
      <c r="AA6" s="54"/>
      <c r="AB6" s="54"/>
    </row>
    <row r="7" spans="1:28" ht="12.75" customHeight="1">
      <c r="A7" s="58" t="s">
        <v>184</v>
      </c>
      <c r="B7" s="59">
        <v>0</v>
      </c>
      <c r="C7" s="61"/>
      <c r="D7" s="62"/>
      <c r="E7" s="54"/>
      <c r="F7" s="54"/>
      <c r="G7" s="54"/>
      <c r="H7" s="54"/>
      <c r="I7" s="54"/>
      <c r="J7" s="54"/>
      <c r="K7" s="54"/>
      <c r="L7" s="54"/>
      <c r="M7" s="54"/>
      <c r="N7" s="54"/>
      <c r="O7" s="57"/>
      <c r="P7" s="57"/>
      <c r="Q7" s="57"/>
      <c r="R7" s="57"/>
      <c r="S7" s="57"/>
      <c r="T7" s="57"/>
      <c r="U7" s="54"/>
      <c r="V7" s="54"/>
      <c r="W7" s="54"/>
      <c r="X7" s="54"/>
      <c r="Y7" s="54"/>
      <c r="Z7" s="54"/>
      <c r="AA7" s="54"/>
      <c r="AB7" s="54"/>
    </row>
    <row r="8" spans="1:28" ht="12.75" customHeight="1">
      <c r="A8" s="58" t="s">
        <v>9</v>
      </c>
      <c r="B8" s="59">
        <v>0</v>
      </c>
      <c r="C8" s="63"/>
      <c r="D8" s="62"/>
      <c r="E8" s="54"/>
      <c r="F8" s="54"/>
      <c r="G8" s="54"/>
      <c r="H8" s="54"/>
      <c r="I8" s="54"/>
      <c r="J8" s="54"/>
      <c r="K8" s="54"/>
      <c r="L8" s="54"/>
      <c r="M8" s="54"/>
      <c r="N8" s="54"/>
      <c r="O8" s="57"/>
      <c r="P8" s="57"/>
      <c r="Q8" s="57"/>
      <c r="R8" s="57"/>
      <c r="S8" s="57"/>
      <c r="T8" s="57"/>
      <c r="U8" s="54"/>
      <c r="V8" s="54"/>
      <c r="W8" s="54"/>
      <c r="X8" s="54"/>
      <c r="Y8" s="54"/>
      <c r="Z8" s="54"/>
      <c r="AA8" s="54"/>
      <c r="AB8" s="54"/>
    </row>
    <row r="9" spans="3:28" ht="12.75" customHeight="1">
      <c r="C9" s="63"/>
      <c r="D9" s="62"/>
      <c r="E9" s="54"/>
      <c r="F9" s="54"/>
      <c r="G9" s="54"/>
      <c r="H9" s="54"/>
      <c r="I9" s="54"/>
      <c r="J9" s="54"/>
      <c r="K9" s="54"/>
      <c r="L9" s="54"/>
      <c r="M9" s="54"/>
      <c r="N9" s="54"/>
      <c r="O9" s="57"/>
      <c r="P9" s="57"/>
      <c r="Q9" s="57"/>
      <c r="R9" s="57"/>
      <c r="S9" s="57"/>
      <c r="T9" s="57"/>
      <c r="U9" s="54"/>
      <c r="V9" s="54"/>
      <c r="W9" s="54"/>
      <c r="X9" s="54"/>
      <c r="Y9" s="54"/>
      <c r="Z9" s="54"/>
      <c r="AA9" s="54"/>
      <c r="AB9" s="54"/>
    </row>
    <row r="10" spans="1:28" ht="12.75" customHeight="1">
      <c r="A10" s="56" t="s">
        <v>185</v>
      </c>
      <c r="B10" s="56"/>
      <c r="C10" s="63"/>
      <c r="D10" s="62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7"/>
      <c r="P10" s="57"/>
      <c r="Q10" s="57"/>
      <c r="R10" s="57"/>
      <c r="S10" s="57"/>
      <c r="T10" s="57"/>
      <c r="U10" s="54"/>
      <c r="V10" s="54"/>
      <c r="W10" s="54"/>
      <c r="X10" s="54"/>
      <c r="Y10" s="54"/>
      <c r="Z10" s="54"/>
      <c r="AA10" s="54"/>
      <c r="AB10" s="54"/>
    </row>
    <row r="11" spans="1:42" ht="12.75" customHeight="1">
      <c r="A11" s="58" t="s">
        <v>11</v>
      </c>
      <c r="B11" s="59">
        <v>2020</v>
      </c>
      <c r="C11" s="63"/>
      <c r="D11" s="62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7"/>
      <c r="P11" s="57"/>
      <c r="Q11" s="57"/>
      <c r="R11" s="57"/>
      <c r="S11" s="57"/>
      <c r="T11" s="57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</row>
    <row r="12" spans="1:42" ht="12.75" customHeight="1">
      <c r="A12" s="58" t="s">
        <v>12</v>
      </c>
      <c r="B12" s="59">
        <v>1</v>
      </c>
      <c r="C12" s="63"/>
      <c r="D12" s="62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7"/>
      <c r="P12" s="57"/>
      <c r="Q12" s="57"/>
      <c r="R12" s="57"/>
      <c r="S12" s="57"/>
      <c r="T12" s="57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</row>
    <row r="13" spans="1:42" ht="12.75" customHeight="1">
      <c r="A13" s="58" t="s">
        <v>13</v>
      </c>
      <c r="B13" s="59">
        <v>2</v>
      </c>
      <c r="C13" s="63"/>
      <c r="D13" s="62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7"/>
      <c r="P13" s="57"/>
      <c r="Q13" s="57"/>
      <c r="R13" s="57"/>
      <c r="S13" s="57"/>
      <c r="T13" s="57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</row>
    <row r="14" spans="3:42" ht="12.75" customHeight="1">
      <c r="C14" s="63"/>
      <c r="D14" s="62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7"/>
      <c r="P14" s="57"/>
      <c r="Q14" s="57"/>
      <c r="R14" s="57"/>
      <c r="S14" s="57"/>
      <c r="T14" s="57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</row>
    <row r="15" spans="3:42" ht="12.75" customHeight="1">
      <c r="C15" s="64"/>
      <c r="D15" s="62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7"/>
      <c r="P15" s="57"/>
      <c r="Q15" s="57"/>
      <c r="R15" s="57"/>
      <c r="S15" s="57"/>
      <c r="T15" s="57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</row>
    <row r="16" spans="1:42" ht="12.75" customHeight="1">
      <c r="A16" s="62"/>
      <c r="B16" s="65"/>
      <c r="C16" s="63"/>
      <c r="D16" s="62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7"/>
      <c r="P16" s="57"/>
      <c r="Q16" s="57"/>
      <c r="R16" s="57"/>
      <c r="S16" s="57"/>
      <c r="T16" s="57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</row>
    <row r="17" spans="1:42" ht="12.75" customHeight="1">
      <c r="A17" s="62"/>
      <c r="B17" s="65"/>
      <c r="C17" s="63"/>
      <c r="D17" s="62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7"/>
      <c r="P17" s="57"/>
      <c r="Q17" s="57"/>
      <c r="R17" s="57"/>
      <c r="S17" s="57"/>
      <c r="T17" s="57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</row>
    <row r="18" spans="1:42" ht="12.75" customHeight="1">
      <c r="A18" s="66" t="s">
        <v>186</v>
      </c>
      <c r="B18" s="66"/>
      <c r="C18" s="63"/>
      <c r="D18" s="62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7"/>
      <c r="P18" s="57"/>
      <c r="Q18" s="57"/>
      <c r="R18" s="57"/>
      <c r="S18" s="57"/>
      <c r="T18" s="57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</row>
    <row r="19" spans="1:42" ht="12.75" customHeight="1">
      <c r="A19" s="67" t="s">
        <v>187</v>
      </c>
      <c r="B19" s="68">
        <f>H55*100</f>
        <v>43.57727648951735</v>
      </c>
      <c r="C19" s="63"/>
      <c r="D19" s="62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7"/>
      <c r="P19" s="57"/>
      <c r="Q19" s="57"/>
      <c r="R19" s="57"/>
      <c r="S19" s="57"/>
      <c r="T19" s="57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</row>
    <row r="20" spans="3:42" ht="12.75" customHeight="1">
      <c r="C20" s="62"/>
      <c r="D20" s="62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7"/>
      <c r="P20" s="57"/>
      <c r="Q20" s="57"/>
      <c r="R20" s="57"/>
      <c r="S20" s="57"/>
      <c r="T20" s="57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</row>
    <row r="21" spans="1:42" ht="12.75" customHeight="1">
      <c r="A21" s="62"/>
      <c r="B21" s="62"/>
      <c r="C21" s="62"/>
      <c r="D21" s="62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7"/>
      <c r="P21" s="57"/>
      <c r="Q21" s="57"/>
      <c r="R21" s="57"/>
      <c r="S21" s="57"/>
      <c r="T21" s="57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</row>
    <row r="22" spans="1:42" ht="12.75" customHeight="1">
      <c r="A22" s="69" t="s">
        <v>188</v>
      </c>
      <c r="B22" s="70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7"/>
      <c r="P22" s="57"/>
      <c r="Q22" s="57"/>
      <c r="R22" s="57"/>
      <c r="S22" s="57"/>
      <c r="T22" s="57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</row>
    <row r="23" spans="1:42" ht="12.75" customHeight="1">
      <c r="A23" s="71" t="s">
        <v>189</v>
      </c>
      <c r="B23" s="72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7"/>
      <c r="P23" s="57"/>
      <c r="Q23" s="57"/>
      <c r="R23" s="57"/>
      <c r="S23" s="57"/>
      <c r="T23" s="57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</row>
    <row r="24" spans="1:42" ht="12.7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7"/>
      <c r="P24" s="57"/>
      <c r="Q24" s="57"/>
      <c r="R24" s="57"/>
      <c r="S24" s="57"/>
      <c r="T24" s="57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</row>
    <row r="25" spans="1:42" ht="12.7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</row>
    <row r="26" spans="1:42" ht="12.75" customHeight="1">
      <c r="A26" s="54" t="s">
        <v>190</v>
      </c>
      <c r="B26" s="54"/>
      <c r="C26" s="73" t="s">
        <v>191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</row>
    <row r="27" spans="1:42" ht="12.75" customHeight="1">
      <c r="A27" s="54"/>
      <c r="B27" s="54"/>
      <c r="C27" s="73" t="s">
        <v>192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</row>
    <row r="28" spans="1:42" ht="12.7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</row>
    <row r="29" spans="1:42" ht="12.75" customHeight="1">
      <c r="A29" s="54" t="s">
        <v>193</v>
      </c>
      <c r="B29" s="54"/>
      <c r="C29" t="s">
        <v>194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</row>
    <row r="30" spans="1:42" ht="12.7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</row>
    <row r="31" spans="1:42" ht="12.7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</row>
    <row r="32" spans="1:42" ht="12.7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</row>
    <row r="33" spans="1:42" ht="12.7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</row>
    <row r="34" spans="1:42" ht="12.7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</row>
    <row r="35" spans="1:42" ht="12.7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</row>
    <row r="36" spans="1:42" ht="12.7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</row>
    <row r="37" spans="1:42" ht="12.7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</row>
    <row r="38" spans="1:42" ht="12.7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</row>
    <row r="39" spans="1:42" ht="12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</row>
    <row r="40" spans="1:42" ht="12.7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</row>
    <row r="41" spans="1:42" ht="12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</row>
    <row r="42" spans="1:42" ht="12.7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</row>
    <row r="43" spans="1:42" ht="12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</row>
    <row r="47" spans="3:7" ht="12.75" customHeight="1">
      <c r="C47" t="s">
        <v>195</v>
      </c>
      <c r="G47" t="s">
        <v>196</v>
      </c>
    </row>
    <row r="49" spans="3:8" ht="12.75" customHeight="1">
      <c r="C49" s="3" t="s">
        <v>197</v>
      </c>
      <c r="D49" s="55">
        <f>367*B11-INT(7*(B11+INT((B12+9)/12))/4)+INT(275*B12/9)+B13-730531.5+(-B7-B8)/24</f>
        <v>7305.5</v>
      </c>
      <c r="E49" s="3"/>
      <c r="G49" s="3" t="s">
        <v>198</v>
      </c>
      <c r="H49">
        <f>DEGREES(MOD(ACOS(COS(RADIANS(O71))*COS(RADIANS(G71-N71))),360))</f>
        <v>82.4634831033976</v>
      </c>
    </row>
    <row r="50" spans="3:8" ht="12.75" customHeight="1">
      <c r="C50" s="3" t="s">
        <v>199</v>
      </c>
      <c r="D50" s="55">
        <f>D49/36525</f>
        <v>0.20001368925393567</v>
      </c>
      <c r="E50" s="3"/>
      <c r="G50" s="3" t="s">
        <v>200</v>
      </c>
      <c r="H50">
        <f>(1.00014-0.01671*COS(RADIANS(MOD(357.528+0.9856003*D71,360))))*1.496*10^8</f>
        <v>147122197.6894914</v>
      </c>
    </row>
    <row r="51" spans="3:8" ht="12.75" customHeight="1">
      <c r="C51" s="3" t="s">
        <v>201</v>
      </c>
      <c r="D51" s="55">
        <f>MOD(280.46061837+360.98564736629*D49+B6,360)</f>
        <v>99.1907828017138</v>
      </c>
      <c r="E51" s="3"/>
      <c r="G51" s="3" t="s">
        <v>202</v>
      </c>
      <c r="H51">
        <f>Q71*6378</f>
        <v>404501.82778597507</v>
      </c>
    </row>
    <row r="52" spans="3:8" ht="12.75" customHeight="1">
      <c r="C52" s="3" t="s">
        <v>203</v>
      </c>
      <c r="D52">
        <f>23.439-0.0000004*$D$49</f>
        <v>23.4360778</v>
      </c>
      <c r="E52" s="3"/>
      <c r="G52" s="3" t="s">
        <v>204</v>
      </c>
      <c r="H52">
        <f>H50*SIN(RADIANS(H49))</f>
        <v>145851278.23614922</v>
      </c>
    </row>
    <row r="53" spans="3:8" ht="12.75" customHeight="1">
      <c r="C53" s="3" t="s">
        <v>205</v>
      </c>
      <c r="D53">
        <f>180/PI()</f>
        <v>57.29577951308232</v>
      </c>
      <c r="E53" s="3"/>
      <c r="G53" s="3" t="s">
        <v>206</v>
      </c>
      <c r="H53">
        <f>H51-H50*COS(RADIANS(H49))</f>
        <v>-18891759.205563594</v>
      </c>
    </row>
    <row r="54" spans="3:8" ht="12.75" customHeight="1">
      <c r="C54" s="3" t="s">
        <v>207</v>
      </c>
      <c r="D54">
        <f>TAN(RADIANS(D52/2))^2</f>
        <v>0.043022395266867984</v>
      </c>
      <c r="E54" s="3"/>
      <c r="G54" s="3" t="s">
        <v>58</v>
      </c>
      <c r="H54">
        <f>DEGREES(ATAN2(H53,H52))</f>
        <v>97.38029118350617</v>
      </c>
    </row>
    <row r="55" spans="3:8" ht="12.75" customHeight="1">
      <c r="C55" s="3"/>
      <c r="E55" s="3"/>
      <c r="G55" s="3" t="s">
        <v>208</v>
      </c>
      <c r="H55">
        <f>(1+COS(RADIANS(H54)))/2</f>
        <v>0.4357727648951735</v>
      </c>
    </row>
    <row r="57" spans="5:31" ht="12.75" customHeight="1">
      <c r="E57" t="s">
        <v>209</v>
      </c>
      <c r="M57" t="s">
        <v>210</v>
      </c>
      <c r="X57" t="s">
        <v>211</v>
      </c>
      <c r="AE57" t="s">
        <v>212</v>
      </c>
    </row>
    <row r="58" spans="3:33" ht="12.75" customHeight="1">
      <c r="C58" s="10" t="s">
        <v>213</v>
      </c>
      <c r="D58" s="10" t="s">
        <v>214</v>
      </c>
      <c r="E58" s="10" t="s">
        <v>215</v>
      </c>
      <c r="F58" s="10" t="s">
        <v>216</v>
      </c>
      <c r="G58" s="10" t="s">
        <v>169</v>
      </c>
      <c r="H58" s="10" t="s">
        <v>217</v>
      </c>
      <c r="I58" s="10" t="s">
        <v>218</v>
      </c>
      <c r="J58" s="10" t="s">
        <v>219</v>
      </c>
      <c r="K58" s="10" t="s">
        <v>220</v>
      </c>
      <c r="L58" s="10" t="s">
        <v>221</v>
      </c>
      <c r="M58" s="10" t="s">
        <v>222</v>
      </c>
      <c r="N58" s="10" t="s">
        <v>169</v>
      </c>
      <c r="O58" s="10" t="s">
        <v>223</v>
      </c>
      <c r="P58" s="10" t="s">
        <v>224</v>
      </c>
      <c r="Q58" s="10" t="s">
        <v>102</v>
      </c>
      <c r="R58" s="10" t="s">
        <v>225</v>
      </c>
      <c r="S58" s="10" t="s">
        <v>89</v>
      </c>
      <c r="T58" s="10" t="s">
        <v>97</v>
      </c>
      <c r="U58" s="10" t="s">
        <v>226</v>
      </c>
      <c r="V58" s="10" t="s">
        <v>227</v>
      </c>
      <c r="W58" s="10" t="s">
        <v>228</v>
      </c>
      <c r="X58" s="10" t="s">
        <v>229</v>
      </c>
      <c r="Y58" s="10" t="s">
        <v>230</v>
      </c>
      <c r="Z58" s="10" t="s">
        <v>231</v>
      </c>
      <c r="AA58" s="10" t="s">
        <v>232</v>
      </c>
      <c r="AB58" s="10" t="s">
        <v>27</v>
      </c>
      <c r="AC58" s="10" t="s">
        <v>233</v>
      </c>
      <c r="AD58" s="10" t="s">
        <v>234</v>
      </c>
      <c r="AE58" s="10" t="s">
        <v>235</v>
      </c>
      <c r="AF58" s="10" t="s">
        <v>236</v>
      </c>
      <c r="AG58" s="10" t="s">
        <v>237</v>
      </c>
    </row>
    <row r="59" spans="3:33" ht="14.25" customHeight="1">
      <c r="C59" s="10">
        <v>0</v>
      </c>
      <c r="D59" s="74">
        <f aca="true" t="shared" si="0" ref="D59:D83">$D$49+C59/24</f>
        <v>7305.5</v>
      </c>
      <c r="E59" s="74">
        <f aca="true" t="shared" si="1" ref="E59:E83">MOD(280.461+0.9856474*D59,360)</f>
        <v>281.10808069999985</v>
      </c>
      <c r="F59" s="74">
        <f aca="true" t="shared" si="2" ref="F59:F83">MOD(357.528+0.9856003*D59,360)</f>
        <v>357.8309916500002</v>
      </c>
      <c r="G59" s="74">
        <f aca="true" t="shared" si="3" ref="G59:G83">E59+1.915*SIN(RADIANS(F59))+0.02*SIN(RADIANS(2*F59))</f>
        <v>281.03409032124847</v>
      </c>
      <c r="H59" s="74">
        <f aca="true" t="shared" si="4" ref="H59:H83">G59-$D$53*$D$54*SIN(RADIANS(2*G59))+$D$53/2*$D$54^2*SIN(RADIANS(4*G59))</f>
        <v>281.9971402802229</v>
      </c>
      <c r="I59" s="74">
        <f aca="true" t="shared" si="5" ref="I59:I83">DEGREES(ASIN(SIN(RADIANS($D$52))*SIN(RADIANS(G59))))</f>
        <v>-22.97771902747236</v>
      </c>
      <c r="J59" s="74">
        <f aca="true" t="shared" si="6" ref="J59:J83">MOD(280.46061837+360.98564736629*D59+$B$6-H59,360)</f>
        <v>177.19364252127707</v>
      </c>
      <c r="K59" s="74">
        <f aca="true" t="shared" si="7" ref="K59:K83">SIN(RADIANS(I59))*SIN(RADIANS($B$5))+COS(RADIANS(I59))*COS(RADIANS($B$5))*COS(RADIANS(J59))</f>
        <v>-0.8694919843166393</v>
      </c>
      <c r="L59" s="75">
        <f aca="true" t="shared" si="8" ref="L59:L83">DEGREES(ASIN(K59))</f>
        <v>-60.39965836872451</v>
      </c>
      <c r="M59" s="76">
        <f aca="true" t="shared" si="9" ref="M59:M83">D59/36525</f>
        <v>0.20001368925393567</v>
      </c>
      <c r="N59" s="25">
        <f aca="true" t="shared" si="10" ref="N59:N83">MOD(218.32+481267.883*M59,360)+6.29*SIN(RADIANS(MOD(134.9+477198.85*M59,360)))-1.27*SIN(RADIANS(MOD(259.2-413335.38*M59,360)))+0.66*SIN(RADIANS(MOD(235.7+890534.23*M59,360)))+0.21*SIN(RADIANS(MOD(269.9+954397.7*M59,360)))-0.19*SIN(RADIANS(MOD(357.5+35999.05*M59,360)))-0.11*SIN(RADIANS(MOD(186.6+966404.05*M59,360)))</f>
        <v>358.0484745244461</v>
      </c>
      <c r="O59" s="77">
        <f aca="true" t="shared" si="11" ref="O59:O83">5.13*SIN(RADIANS(MOD(93.3+483202.03*M59,360)))+0.28*SIN(RADIANS(MOD(228.2+960400.87*M59,360)))-0.28*SIN(RADIANS(MOD(318.3+6003.18*M59,360)))-0.17*SIN(RADIANS(MOD(217.6-407332.2*M59,360)))</f>
        <v>-5.218653658334536</v>
      </c>
      <c r="P59" s="74">
        <f aca="true" t="shared" si="12" ref="P59:P83">0.9508+0.0518*COS(RADIANS(MOD(134.9+477198.85*M59,360)))+0.0095*COS(RADIANS(MOD(259.2-413335.38*M59,360)))+0.0078*COS(RADIANS(MOD(235.7+890534.23*M59,360)))+0.0028*COS(RADIANS(MOD(269.9+954397.7*M59,360)))</f>
        <v>0.9032591608524027</v>
      </c>
      <c r="Q59" s="74">
        <f aca="true" t="shared" si="13" ref="Q59:Q83">1/SIN(RADIANS(P59))</f>
        <v>63.43489815053869</v>
      </c>
      <c r="R59" s="78">
        <f aca="true" t="shared" si="14" ref="R59:R83">COS(RADIANS(O59))*COS(RADIANS(N59))</f>
        <v>0.9952772387168174</v>
      </c>
      <c r="S59" s="78">
        <f aca="true" t="shared" si="15" ref="S59:S83">0.9175*COS(RADIANS(O59))*SIN(RADIANS(N59))-0.3978*SIN(RADIANS(O59))</f>
        <v>0.005067621877758846</v>
      </c>
      <c r="T59" s="78">
        <f aca="true" t="shared" si="16" ref="T59:T83">0.3978*COS(RADIANS(O59))*SIN(RADIANS(N59))+0.9175*SIN(RADIANS(O59))</f>
        <v>-0.09694337900518885</v>
      </c>
      <c r="U59" s="78">
        <f aca="true" t="shared" si="17" ref="U59:U83">DEGREES(ATAN(S59/R59))</f>
        <v>0.29172860120024857</v>
      </c>
      <c r="V59" s="78">
        <f aca="true" t="shared" si="18" ref="V59:V83">IF(R59&lt;0,U59+180,IF(S59&lt;0,360+U59,U59))</f>
        <v>0.29172860120024857</v>
      </c>
      <c r="W59" s="78">
        <f aca="true" t="shared" si="19" ref="W59:W83">DEGREES(ASIN(T59))</f>
        <v>-5.563183601682388</v>
      </c>
      <c r="X59" s="78">
        <f aca="true" t="shared" si="20" ref="X59:X83">Q59*COS(RADIANS(W59))*COS(RADIANS(V59))-COS(RADIANS($B$5))*COS(RADIANS(MOD(280.46061837+360.98564736629*D59+$B$6,360)))</f>
        <v>63.232527754756944</v>
      </c>
      <c r="Y59" s="78">
        <f aca="true" t="shared" si="21" ref="Y59:Y83">Q59*COS(RADIANS(W59))*SIN(RADIANS(V59))-COS(RADIANS($B$5))*SIN(RADIANS(MOD(280.46061837+360.98564736629*D59+$B$6,360)))</f>
        <v>-0.2794821334521552</v>
      </c>
      <c r="Z59" s="78">
        <f aca="true" t="shared" si="22" ref="Z59:Z83">Q59*SIN(RADIANS(W59))-SIN(RADIANS($B$5))</f>
        <v>-6.94294671385446</v>
      </c>
      <c r="AA59" s="78">
        <f aca="true" t="shared" si="23" ref="AA59:AA83">SQRT(X59*X59+Y59*Y59+Z59*Z59)</f>
        <v>63.61316833479094</v>
      </c>
      <c r="AB59" s="78">
        <f aca="true" t="shared" si="24" ref="AB59:AB83">DEGREES(ATAN(Y59/X59))</f>
        <v>-0.25324058661564114</v>
      </c>
      <c r="AC59" s="78">
        <f aca="true" t="shared" si="25" ref="AC59:AC83">IF(X59&lt;0,AB59+180,IF(Y59&lt;0,360+AB59,AB59))</f>
        <v>359.7467594133844</v>
      </c>
      <c r="AD59" s="78">
        <f aca="true" t="shared" si="26" ref="AD59:AD83">DEGREES(ASIN(Z59/AA59))</f>
        <v>-6.26592894733507</v>
      </c>
      <c r="AE59" s="78">
        <f aca="true" t="shared" si="27" ref="AE59:AE83">MOD(280.46061837+360.98564736629*D59+$B$6-AC59,360)</f>
        <v>99.44402338843793</v>
      </c>
      <c r="AF59" s="78">
        <f aca="true" t="shared" si="28" ref="AF59:AF83">SIN(RADIANS(AD59))*SIN(RADIANS($B$5))+COS(RADIANS(AD59))*COS(RADIANS($B$5))*COS(RADIANS(AE59))</f>
        <v>-0.18588039898368575</v>
      </c>
      <c r="AG59" s="78">
        <f aca="true" t="shared" si="29" ref="AG59:AG83">DEGREES(ASIN(AF59))</f>
        <v>-10.712465896866535</v>
      </c>
    </row>
    <row r="60" spans="3:33" ht="12.75" customHeight="1">
      <c r="C60" s="10">
        <v>1</v>
      </c>
      <c r="D60" s="74">
        <f t="shared" si="0"/>
        <v>7305.541666666667</v>
      </c>
      <c r="E60" s="74">
        <f t="shared" si="1"/>
        <v>281.149149341667</v>
      </c>
      <c r="F60" s="74">
        <f t="shared" si="2"/>
        <v>357.872058329167</v>
      </c>
      <c r="G60" s="74">
        <f t="shared" si="3"/>
        <v>281.0765591612573</v>
      </c>
      <c r="H60" s="74">
        <f t="shared" si="4"/>
        <v>282.0431072732096</v>
      </c>
      <c r="I60" s="74">
        <f t="shared" si="5"/>
        <v>-22.97420098278419</v>
      </c>
      <c r="J60" s="74">
        <f t="shared" si="6"/>
        <v>192.1887441687286</v>
      </c>
      <c r="K60" s="74">
        <f t="shared" si="7"/>
        <v>-0.8574993135561195</v>
      </c>
      <c r="L60" s="75">
        <f t="shared" si="8"/>
        <v>-59.036954844570595</v>
      </c>
      <c r="M60" s="76">
        <f t="shared" si="9"/>
        <v>0.20001483002509698</v>
      </c>
      <c r="N60" s="25">
        <f t="shared" si="10"/>
        <v>358.5423496933695</v>
      </c>
      <c r="O60" s="77">
        <f t="shared" si="11"/>
        <v>-5.2263501880496115</v>
      </c>
      <c r="P60" s="74">
        <f t="shared" si="12"/>
        <v>0.9032456389662484</v>
      </c>
      <c r="Q60" s="74">
        <f t="shared" si="13"/>
        <v>63.435847713286165</v>
      </c>
      <c r="R60" s="78">
        <f t="shared" si="14"/>
        <v>0.995520357301838</v>
      </c>
      <c r="S60" s="78">
        <f t="shared" si="15"/>
        <v>0.012993448336972385</v>
      </c>
      <c r="T60" s="78">
        <f t="shared" si="16"/>
        <v>-0.09365279068235571</v>
      </c>
      <c r="U60" s="78">
        <f t="shared" si="17"/>
        <v>0.7477772561767625</v>
      </c>
      <c r="V60" s="78">
        <f t="shared" si="18"/>
        <v>0.7477772561767625</v>
      </c>
      <c r="W60" s="78">
        <f t="shared" si="19"/>
        <v>-5.373784694508764</v>
      </c>
      <c r="X60" s="78">
        <f t="shared" si="20"/>
        <v>63.40151720409806</v>
      </c>
      <c r="Y60" s="78">
        <f t="shared" si="21"/>
        <v>0.2691254859098915</v>
      </c>
      <c r="Z60" s="78">
        <f t="shared" si="22"/>
        <v>-6.7342975079414185</v>
      </c>
      <c r="AA60" s="78">
        <f t="shared" si="23"/>
        <v>63.75872940417002</v>
      </c>
      <c r="AB60" s="78">
        <f t="shared" si="24"/>
        <v>0.24320651257537035</v>
      </c>
      <c r="AC60" s="78">
        <f t="shared" si="25"/>
        <v>0.24320651257537035</v>
      </c>
      <c r="AD60" s="78">
        <f t="shared" si="26"/>
        <v>-6.062979406604909</v>
      </c>
      <c r="AE60" s="78">
        <f t="shared" si="27"/>
        <v>113.98864492913708</v>
      </c>
      <c r="AF60" s="78">
        <f t="shared" si="28"/>
        <v>-0.3299061989157238</v>
      </c>
      <c r="AG60" s="78">
        <f t="shared" si="29"/>
        <v>-19.26308224840376</v>
      </c>
    </row>
    <row r="61" spans="3:33" ht="12.75" customHeight="1">
      <c r="C61" s="10">
        <v>2</v>
      </c>
      <c r="D61" s="74">
        <f t="shared" si="0"/>
        <v>7305.583333333333</v>
      </c>
      <c r="E61" s="74">
        <f t="shared" si="1"/>
        <v>281.19021798333324</v>
      </c>
      <c r="F61" s="74">
        <f t="shared" si="2"/>
        <v>357.9131250083328</v>
      </c>
      <c r="G61" s="74">
        <f t="shared" si="3"/>
        <v>281.1190280408442</v>
      </c>
      <c r="H61" s="74">
        <f t="shared" si="4"/>
        <v>282.089071940726</v>
      </c>
      <c r="I61" s="74">
        <f t="shared" si="5"/>
        <v>-22.970669681489642</v>
      </c>
      <c r="J61" s="74">
        <f t="shared" si="6"/>
        <v>207.18384814122692</v>
      </c>
      <c r="K61" s="74">
        <f t="shared" si="7"/>
        <v>-0.8081947422936819</v>
      </c>
      <c r="L61" s="75">
        <f t="shared" si="8"/>
        <v>-53.91992599095446</v>
      </c>
      <c r="M61" s="76">
        <f t="shared" si="9"/>
        <v>0.20001597079625827</v>
      </c>
      <c r="N61" s="25">
        <f t="shared" si="10"/>
        <v>359.0362026616406</v>
      </c>
      <c r="O61" s="77">
        <f t="shared" si="11"/>
        <v>-5.2336686467002425</v>
      </c>
      <c r="P61" s="74">
        <f t="shared" si="12"/>
        <v>0.9032374393722237</v>
      </c>
      <c r="Q61" s="74">
        <f t="shared" si="13"/>
        <v>63.436423536525</v>
      </c>
      <c r="R61" s="78">
        <f t="shared" si="14"/>
        <v>0.9956900811559964</v>
      </c>
      <c r="S61" s="78">
        <f t="shared" si="15"/>
        <v>0.020917830745882063</v>
      </c>
      <c r="T61" s="78">
        <f t="shared" si="16"/>
        <v>-0.09035566436556255</v>
      </c>
      <c r="U61" s="78">
        <f t="shared" si="17"/>
        <v>1.2035141929267281</v>
      </c>
      <c r="V61" s="78">
        <f t="shared" si="18"/>
        <v>1.2035141929267281</v>
      </c>
      <c r="W61" s="78">
        <f t="shared" si="19"/>
        <v>-5.184068524470923</v>
      </c>
      <c r="X61" s="78">
        <f t="shared" si="20"/>
        <v>63.54835885881389</v>
      </c>
      <c r="Y61" s="78">
        <f t="shared" si="21"/>
        <v>0.8556858203333972</v>
      </c>
      <c r="Z61" s="78">
        <f t="shared" si="22"/>
        <v>-6.52519353390916</v>
      </c>
      <c r="AA61" s="78">
        <f t="shared" si="23"/>
        <v>63.888216930249975</v>
      </c>
      <c r="AB61" s="78">
        <f t="shared" si="24"/>
        <v>0.771447512875178</v>
      </c>
      <c r="AC61" s="78">
        <f t="shared" si="25"/>
        <v>0.771447512875178</v>
      </c>
      <c r="AD61" s="78">
        <f t="shared" si="26"/>
        <v>-5.862099981638163</v>
      </c>
      <c r="AE61" s="78">
        <f t="shared" si="27"/>
        <v>128.50147256907076</v>
      </c>
      <c r="AF61" s="78">
        <f t="shared" si="28"/>
        <v>-0.4580221066842638</v>
      </c>
      <c r="AG61" s="78">
        <f t="shared" si="29"/>
        <v>-27.259551127321867</v>
      </c>
    </row>
    <row r="62" spans="3:33" ht="12.75" customHeight="1">
      <c r="C62" s="10">
        <v>3</v>
      </c>
      <c r="D62" s="74">
        <f t="shared" si="0"/>
        <v>7305.625</v>
      </c>
      <c r="E62" s="74">
        <f t="shared" si="1"/>
        <v>281.2312866249995</v>
      </c>
      <c r="F62" s="74">
        <f t="shared" si="2"/>
        <v>357.9541916875005</v>
      </c>
      <c r="G62" s="74">
        <f t="shared" si="3"/>
        <v>281.161496959247</v>
      </c>
      <c r="H62" s="74">
        <f t="shared" si="4"/>
        <v>282.1350342735174</v>
      </c>
      <c r="I62" s="74">
        <f t="shared" si="5"/>
        <v>-22.967125126580783</v>
      </c>
      <c r="J62" s="74">
        <f t="shared" si="6"/>
        <v>222.1789544490166</v>
      </c>
      <c r="K62" s="74">
        <f t="shared" si="7"/>
        <v>-0.7249311570647061</v>
      </c>
      <c r="L62" s="75">
        <f t="shared" si="8"/>
        <v>-46.463121213881706</v>
      </c>
      <c r="M62" s="76">
        <f t="shared" si="9"/>
        <v>0.20001711156741958</v>
      </c>
      <c r="N62" s="25">
        <f t="shared" si="10"/>
        <v>-0.46996063274590466</v>
      </c>
      <c r="O62" s="77">
        <f t="shared" si="11"/>
        <v>-5.240608541004125</v>
      </c>
      <c r="P62" s="74">
        <f t="shared" si="12"/>
        <v>0.9032345770930964</v>
      </c>
      <c r="Q62" s="74">
        <f t="shared" si="13"/>
        <v>63.43662454489423</v>
      </c>
      <c r="R62" s="78">
        <f t="shared" si="14"/>
        <v>0.995786413845072</v>
      </c>
      <c r="S62" s="78">
        <f t="shared" si="15"/>
        <v>0.028840289116854604</v>
      </c>
      <c r="T62" s="78">
        <f t="shared" si="16"/>
        <v>-0.08705219906695628</v>
      </c>
      <c r="U62" s="78">
        <f t="shared" si="17"/>
        <v>1.6589552019103906</v>
      </c>
      <c r="V62" s="78">
        <f t="shared" si="18"/>
        <v>1.6589552019103906</v>
      </c>
      <c r="W62" s="78">
        <f t="shared" si="19"/>
        <v>-4.9940447495377835</v>
      </c>
      <c r="X62" s="78">
        <f t="shared" si="20"/>
        <v>63.66376703295102</v>
      </c>
      <c r="Y62" s="78">
        <f t="shared" si="21"/>
        <v>1.4744135242120175</v>
      </c>
      <c r="Z62" s="78">
        <f t="shared" si="22"/>
        <v>-6.315651008309133</v>
      </c>
      <c r="AA62" s="78">
        <f t="shared" si="23"/>
        <v>63.99325414233126</v>
      </c>
      <c r="AB62" s="78">
        <f t="shared" si="24"/>
        <v>1.3266977056596574</v>
      </c>
      <c r="AC62" s="78">
        <f t="shared" si="25"/>
        <v>1.3266977056596574</v>
      </c>
      <c r="AD62" s="78">
        <f t="shared" si="26"/>
        <v>-5.663880888424546</v>
      </c>
      <c r="AE62" s="78">
        <f t="shared" si="27"/>
        <v>142.98729101661593</v>
      </c>
      <c r="AF62" s="78">
        <f t="shared" si="28"/>
        <v>-0.5620220680998312</v>
      </c>
      <c r="AG62" s="78">
        <f t="shared" si="29"/>
        <v>-34.195752890728805</v>
      </c>
    </row>
    <row r="63" spans="3:33" ht="12.75" customHeight="1">
      <c r="C63" s="10">
        <v>4</v>
      </c>
      <c r="D63" s="74">
        <f t="shared" si="0"/>
        <v>7305.666666666667</v>
      </c>
      <c r="E63" s="74">
        <f t="shared" si="1"/>
        <v>281.27235526666664</v>
      </c>
      <c r="F63" s="74">
        <f t="shared" si="2"/>
        <v>357.99525836666726</v>
      </c>
      <c r="G63" s="74">
        <f t="shared" si="3"/>
        <v>281.20396591570295</v>
      </c>
      <c r="H63" s="74">
        <f t="shared" si="4"/>
        <v>282.1809942623361</v>
      </c>
      <c r="I63" s="74">
        <f t="shared" si="5"/>
        <v>-22.96356732106134</v>
      </c>
      <c r="J63" s="74">
        <f t="shared" si="6"/>
        <v>237.17406310001388</v>
      </c>
      <c r="K63" s="74">
        <f t="shared" si="7"/>
        <v>-0.6133744059266455</v>
      </c>
      <c r="L63" s="75">
        <f t="shared" si="8"/>
        <v>-37.83389646256508</v>
      </c>
      <c r="M63" s="76">
        <f t="shared" si="9"/>
        <v>0.2000182523385809</v>
      </c>
      <c r="N63" s="25">
        <f t="shared" si="10"/>
        <v>0.02386576711518149</v>
      </c>
      <c r="O63" s="77">
        <f t="shared" si="11"/>
        <v>-5.247169384637909</v>
      </c>
      <c r="P63" s="74">
        <f t="shared" si="12"/>
        <v>0.9032370664246425</v>
      </c>
      <c r="Q63" s="74">
        <f t="shared" si="13"/>
        <v>63.43644972732441</v>
      </c>
      <c r="R63" s="78">
        <f t="shared" si="14"/>
        <v>0.9958093604772693</v>
      </c>
      <c r="S63" s="78">
        <f t="shared" si="15"/>
        <v>0.036760344023176746</v>
      </c>
      <c r="T63" s="78">
        <f t="shared" si="16"/>
        <v>-0.08374259367538771</v>
      </c>
      <c r="U63" s="78">
        <f t="shared" si="17"/>
        <v>2.114116119826996</v>
      </c>
      <c r="V63" s="78">
        <f t="shared" si="18"/>
        <v>2.114116119826996</v>
      </c>
      <c r="W63" s="78">
        <f t="shared" si="19"/>
        <v>-4.803722988548942</v>
      </c>
      <c r="X63" s="78">
        <f t="shared" si="20"/>
        <v>63.74026559932494</v>
      </c>
      <c r="Y63" s="78">
        <f t="shared" si="21"/>
        <v>2.1173106767283483</v>
      </c>
      <c r="Z63" s="78">
        <f t="shared" si="22"/>
        <v>-6.105686174015722</v>
      </c>
      <c r="AA63" s="78">
        <f t="shared" si="23"/>
        <v>64.06702636169281</v>
      </c>
      <c r="AB63" s="78">
        <f t="shared" si="24"/>
        <v>1.9025395375112246</v>
      </c>
      <c r="AC63" s="78">
        <f t="shared" si="25"/>
        <v>1.9025395375112246</v>
      </c>
      <c r="AD63" s="78">
        <f t="shared" si="26"/>
        <v>-5.468675435761417</v>
      </c>
      <c r="AE63" s="78">
        <f t="shared" si="27"/>
        <v>157.4525178251788</v>
      </c>
      <c r="AF63" s="78">
        <f t="shared" si="28"/>
        <v>-0.6352777508593078</v>
      </c>
      <c r="AG63" s="78">
        <f t="shared" si="29"/>
        <v>-39.440587773999454</v>
      </c>
    </row>
    <row r="64" spans="3:33" ht="12.75" customHeight="1">
      <c r="C64" s="10">
        <v>5</v>
      </c>
      <c r="D64" s="74">
        <f t="shared" si="0"/>
        <v>7305.708333333333</v>
      </c>
      <c r="E64" s="74">
        <f t="shared" si="1"/>
        <v>281.3134239083329</v>
      </c>
      <c r="F64" s="74">
        <f t="shared" si="2"/>
        <v>358.0363250458331</v>
      </c>
      <c r="G64" s="74">
        <f t="shared" si="3"/>
        <v>281.24643490944675</v>
      </c>
      <c r="H64" s="74">
        <f t="shared" si="4"/>
        <v>282.22695189793905</v>
      </c>
      <c r="I64" s="74">
        <f t="shared" si="5"/>
        <v>-22.959996267946785</v>
      </c>
      <c r="J64" s="74">
        <f t="shared" si="6"/>
        <v>252.1691741044633</v>
      </c>
      <c r="K64" s="74">
        <f t="shared" si="7"/>
        <v>-0.481117547870035</v>
      </c>
      <c r="L64" s="75">
        <f t="shared" si="8"/>
        <v>-28.75841629123385</v>
      </c>
      <c r="M64" s="76">
        <f t="shared" si="9"/>
        <v>0.20001939310974218</v>
      </c>
      <c r="N64" s="25">
        <f t="shared" si="10"/>
        <v>0.5176878363747046</v>
      </c>
      <c r="O64" s="77">
        <f t="shared" si="11"/>
        <v>-5.253350698229716</v>
      </c>
      <c r="P64" s="74">
        <f t="shared" si="12"/>
        <v>0.9032449209300906</v>
      </c>
      <c r="Q64" s="74">
        <f t="shared" si="13"/>
        <v>63.435898137548634</v>
      </c>
      <c r="R64" s="78">
        <f t="shared" si="14"/>
        <v>0.9957589276844018</v>
      </c>
      <c r="S64" s="78">
        <f t="shared" si="15"/>
        <v>0.04467751655309062</v>
      </c>
      <c r="T64" s="78">
        <f t="shared" si="16"/>
        <v>-0.08042704697605049</v>
      </c>
      <c r="U64" s="78">
        <f t="shared" si="17"/>
        <v>2.56901282834578</v>
      </c>
      <c r="V64" s="78">
        <f t="shared" si="18"/>
        <v>2.56901282834578</v>
      </c>
      <c r="W64" s="78">
        <f t="shared" si="19"/>
        <v>-4.613112823346849</v>
      </c>
      <c r="X64" s="78">
        <f t="shared" si="20"/>
        <v>63.77270019570873</v>
      </c>
      <c r="Y64" s="78">
        <f t="shared" si="21"/>
        <v>2.7747121025918213</v>
      </c>
      <c r="Z64" s="78">
        <f t="shared" si="22"/>
        <v>-5.895315299767812</v>
      </c>
      <c r="AA64" s="78">
        <f t="shared" si="23"/>
        <v>64.10468828399132</v>
      </c>
      <c r="AB64" s="78">
        <f t="shared" si="24"/>
        <v>2.491333856078387</v>
      </c>
      <c r="AC64" s="78">
        <f t="shared" si="25"/>
        <v>2.491333856078387</v>
      </c>
      <c r="AD64" s="78">
        <f t="shared" si="26"/>
        <v>-5.276597265467672</v>
      </c>
      <c r="AE64" s="78">
        <f t="shared" si="27"/>
        <v>171.90479214629158</v>
      </c>
      <c r="AF64" s="78">
        <f t="shared" si="28"/>
        <v>-0.673101217557637</v>
      </c>
      <c r="AG64" s="78">
        <f t="shared" si="29"/>
        <v>-42.306871864852106</v>
      </c>
    </row>
    <row r="65" spans="3:33" ht="12.75" customHeight="1">
      <c r="C65" s="10">
        <v>6</v>
      </c>
      <c r="D65" s="74">
        <f t="shared" si="0"/>
        <v>7305.75</v>
      </c>
      <c r="E65" s="74">
        <f t="shared" si="1"/>
        <v>281.35449255000003</v>
      </c>
      <c r="F65" s="74">
        <f t="shared" si="2"/>
        <v>358.07739172499987</v>
      </c>
      <c r="G65" s="74">
        <f t="shared" si="3"/>
        <v>281.28890393971676</v>
      </c>
      <c r="H65" s="74">
        <f t="shared" si="4"/>
        <v>282.27290717109497</v>
      </c>
      <c r="I65" s="74">
        <f t="shared" si="5"/>
        <v>-22.956411970263872</v>
      </c>
      <c r="J65" s="74">
        <f t="shared" si="6"/>
        <v>267.16428747214377</v>
      </c>
      <c r="K65" s="74">
        <f t="shared" si="7"/>
        <v>-0.33716382845666004</v>
      </c>
      <c r="L65" s="75">
        <f t="shared" si="8"/>
        <v>-19.70417307241181</v>
      </c>
      <c r="M65" s="76">
        <f t="shared" si="9"/>
        <v>0.2000205338809035</v>
      </c>
      <c r="N65" s="25">
        <f t="shared" si="10"/>
        <v>1.011511567749183</v>
      </c>
      <c r="O65" s="77">
        <f t="shared" si="11"/>
        <v>-5.259152009359614</v>
      </c>
      <c r="P65" s="74">
        <f t="shared" si="12"/>
        <v>0.9032581534346542</v>
      </c>
      <c r="Q65" s="74">
        <f t="shared" si="13"/>
        <v>63.434968894597624</v>
      </c>
      <c r="R65" s="78">
        <f t="shared" si="14"/>
        <v>0.9956351236046553</v>
      </c>
      <c r="S65" s="78">
        <f t="shared" si="15"/>
        <v>0.05259132826323874</v>
      </c>
      <c r="T65" s="78">
        <f t="shared" si="16"/>
        <v>-0.07710575767053243</v>
      </c>
      <c r="U65" s="78">
        <f t="shared" si="17"/>
        <v>3.0236612528600157</v>
      </c>
      <c r="V65" s="78">
        <f t="shared" si="18"/>
        <v>3.0236612528600157</v>
      </c>
      <c r="W65" s="78">
        <f t="shared" si="19"/>
        <v>-4.4222238009354236</v>
      </c>
      <c r="X65" s="78">
        <f t="shared" si="20"/>
        <v>63.758591366315706</v>
      </c>
      <c r="Y65" s="78">
        <f t="shared" si="21"/>
        <v>3.4359449334220225</v>
      </c>
      <c r="Z65" s="78">
        <f t="shared" si="22"/>
        <v>-5.684554679715842</v>
      </c>
      <c r="AA65" s="78">
        <f t="shared" si="23"/>
        <v>64.10364929166681</v>
      </c>
      <c r="AB65" s="78">
        <f t="shared" si="24"/>
        <v>3.0846807776129714</v>
      </c>
      <c r="AC65" s="78">
        <f t="shared" si="25"/>
        <v>3.0846807776129714</v>
      </c>
      <c r="AD65" s="78">
        <f t="shared" si="26"/>
        <v>-5.08753218286174</v>
      </c>
      <c r="AE65" s="78">
        <f t="shared" si="27"/>
        <v>186.35251386556774</v>
      </c>
      <c r="AF65" s="78">
        <f t="shared" si="28"/>
        <v>-0.6729926829738849</v>
      </c>
      <c r="AG65" s="78">
        <f t="shared" si="29"/>
        <v>-42.298463839391886</v>
      </c>
    </row>
    <row r="66" spans="3:33" ht="12.75" customHeight="1">
      <c r="C66" s="10">
        <v>7</v>
      </c>
      <c r="D66" s="74">
        <f t="shared" si="0"/>
        <v>7305.791666666667</v>
      </c>
      <c r="E66" s="74">
        <f t="shared" si="1"/>
        <v>281.3955611916672</v>
      </c>
      <c r="F66" s="74">
        <f t="shared" si="2"/>
        <v>358.11845840416754</v>
      </c>
      <c r="G66" s="74">
        <f t="shared" si="3"/>
        <v>281.33137300574873</v>
      </c>
      <c r="H66" s="74">
        <f t="shared" si="4"/>
        <v>282.31886007257697</v>
      </c>
      <c r="I66" s="74">
        <f t="shared" si="5"/>
        <v>-22.952814431051138</v>
      </c>
      <c r="J66" s="74">
        <f t="shared" si="6"/>
        <v>282.1594032109715</v>
      </c>
      <c r="K66" s="74">
        <f t="shared" si="7"/>
        <v>-0.19131358645463564</v>
      </c>
      <c r="L66" s="75">
        <f t="shared" si="8"/>
        <v>-11.029453529228405</v>
      </c>
      <c r="M66" s="76">
        <f t="shared" si="9"/>
        <v>0.2000216746520648</v>
      </c>
      <c r="N66" s="25">
        <f t="shared" si="10"/>
        <v>1.5053429707069794</v>
      </c>
      <c r="O66" s="77">
        <f t="shared" si="11"/>
        <v>-5.264572852568215</v>
      </c>
      <c r="P66" s="74">
        <f t="shared" si="12"/>
        <v>0.9032767760202222</v>
      </c>
      <c r="Q66" s="74">
        <f t="shared" si="13"/>
        <v>63.43366118327338</v>
      </c>
      <c r="R66" s="78">
        <f t="shared" si="14"/>
        <v>0.9954379578670121</v>
      </c>
      <c r="S66" s="78">
        <f t="shared" si="15"/>
        <v>0.06050130112967163</v>
      </c>
      <c r="T66" s="78">
        <f t="shared" si="16"/>
        <v>-0.07377892439808281</v>
      </c>
      <c r="U66" s="78">
        <f t="shared" si="17"/>
        <v>3.478077361154807</v>
      </c>
      <c r="V66" s="78">
        <f t="shared" si="18"/>
        <v>3.478077361154807</v>
      </c>
      <c r="W66" s="78">
        <f t="shared" si="19"/>
        <v>-4.2310654357112645</v>
      </c>
      <c r="X66" s="78">
        <f t="shared" si="20"/>
        <v>63.698304441422955</v>
      </c>
      <c r="Y66" s="78">
        <f t="shared" si="21"/>
        <v>4.090057216720026</v>
      </c>
      <c r="Z66" s="78">
        <f t="shared" si="22"/>
        <v>-5.473420633025561</v>
      </c>
      <c r="AA66" s="78">
        <f t="shared" si="23"/>
        <v>64.06372522866803</v>
      </c>
      <c r="AB66" s="78">
        <f t="shared" si="24"/>
        <v>3.6739086717364673</v>
      </c>
      <c r="AC66" s="78">
        <f t="shared" si="25"/>
        <v>3.6739086717364673</v>
      </c>
      <c r="AD66" s="78">
        <f t="shared" si="26"/>
        <v>-4.9011618473608465</v>
      </c>
      <c r="AE66" s="78">
        <f t="shared" si="27"/>
        <v>200.80435461178422</v>
      </c>
      <c r="AF66" s="78">
        <f t="shared" si="28"/>
        <v>-0.63477044747004</v>
      </c>
      <c r="AG66" s="78">
        <f t="shared" si="29"/>
        <v>-39.40296106400291</v>
      </c>
    </row>
    <row r="67" spans="3:33" ht="12.75" customHeight="1">
      <c r="C67" s="10">
        <v>8</v>
      </c>
      <c r="D67" s="74">
        <f t="shared" si="0"/>
        <v>7305.833333333333</v>
      </c>
      <c r="E67" s="74">
        <f t="shared" si="1"/>
        <v>281.4366298333325</v>
      </c>
      <c r="F67" s="74">
        <f t="shared" si="2"/>
        <v>358.1595250833334</v>
      </c>
      <c r="G67" s="74">
        <f t="shared" si="3"/>
        <v>281.3738421067771</v>
      </c>
      <c r="H67" s="74">
        <f t="shared" si="4"/>
        <v>282.36481059316463</v>
      </c>
      <c r="I67" s="74">
        <f t="shared" si="5"/>
        <v>-22.94920365335876</v>
      </c>
      <c r="J67" s="74">
        <f t="shared" si="6"/>
        <v>297.1545213307254</v>
      </c>
      <c r="K67" s="74">
        <f t="shared" si="7"/>
        <v>-0.053496840905056575</v>
      </c>
      <c r="L67" s="75">
        <f t="shared" si="8"/>
        <v>-3.0666071155895405</v>
      </c>
      <c r="M67" s="76">
        <f t="shared" si="9"/>
        <v>0.20002281542322609</v>
      </c>
      <c r="N67" s="25">
        <f t="shared" si="10"/>
        <v>1.99918807077878</v>
      </c>
      <c r="O67" s="77">
        <f t="shared" si="11"/>
        <v>-5.269612769377831</v>
      </c>
      <c r="P67" s="74">
        <f t="shared" si="12"/>
        <v>0.9033008000201678</v>
      </c>
      <c r="Q67" s="74">
        <f t="shared" si="13"/>
        <v>63.43197425460419</v>
      </c>
      <c r="R67" s="78">
        <f t="shared" si="14"/>
        <v>0.9951674415773121</v>
      </c>
      <c r="S67" s="78">
        <f t="shared" si="15"/>
        <v>0.068406957500589</v>
      </c>
      <c r="T67" s="78">
        <f t="shared" si="16"/>
        <v>-0.07044674575637139</v>
      </c>
      <c r="U67" s="78">
        <f t="shared" si="17"/>
        <v>3.9322771622249513</v>
      </c>
      <c r="V67" s="78">
        <f t="shared" si="18"/>
        <v>3.9322771622249513</v>
      </c>
      <c r="W67" s="78">
        <f t="shared" si="19"/>
        <v>-4.0396472116683215</v>
      </c>
      <c r="X67" s="78">
        <f t="shared" si="20"/>
        <v>63.59502451499406</v>
      </c>
      <c r="Y67" s="78">
        <f t="shared" si="21"/>
        <v>4.726565648611001</v>
      </c>
      <c r="Z67" s="78">
        <f t="shared" si="22"/>
        <v>-5.261929503430032</v>
      </c>
      <c r="AA67" s="78">
        <f t="shared" si="23"/>
        <v>63.98715080383242</v>
      </c>
      <c r="AB67" s="78">
        <f t="shared" si="24"/>
        <v>4.25057252017802</v>
      </c>
      <c r="AC67" s="78">
        <f t="shared" si="25"/>
        <v>4.25057252017802</v>
      </c>
      <c r="AD67" s="78">
        <f t="shared" si="26"/>
        <v>-4.716996852450759</v>
      </c>
      <c r="AE67" s="78">
        <f t="shared" si="27"/>
        <v>215.26875940337777</v>
      </c>
      <c r="AF67" s="78">
        <f t="shared" si="28"/>
        <v>-0.5605821579371548</v>
      </c>
      <c r="AG67" s="78">
        <f t="shared" si="29"/>
        <v>-34.09606740837702</v>
      </c>
    </row>
    <row r="68" spans="3:33" ht="12.75" customHeight="1">
      <c r="C68" s="10">
        <v>9</v>
      </c>
      <c r="D68" s="74">
        <f t="shared" si="0"/>
        <v>7305.875</v>
      </c>
      <c r="E68" s="74">
        <f t="shared" si="1"/>
        <v>281.47769847499967</v>
      </c>
      <c r="F68" s="74">
        <f t="shared" si="2"/>
        <v>358.20059176250015</v>
      </c>
      <c r="G68" s="74">
        <f t="shared" si="3"/>
        <v>281.41631124204207</v>
      </c>
      <c r="H68" s="74">
        <f t="shared" si="4"/>
        <v>282.4107587236513</v>
      </c>
      <c r="I68" s="74">
        <f t="shared" si="5"/>
        <v>-22.945579640247963</v>
      </c>
      <c r="J68" s="74">
        <f t="shared" si="6"/>
        <v>312.149641840253</v>
      </c>
      <c r="K68" s="74">
        <f t="shared" si="7"/>
        <v>0.06690299004731032</v>
      </c>
      <c r="L68" s="75">
        <f t="shared" si="8"/>
        <v>3.836124359391412</v>
      </c>
      <c r="M68" s="76">
        <f t="shared" si="9"/>
        <v>0.2000239561943874</v>
      </c>
      <c r="N68" s="25">
        <f t="shared" si="10"/>
        <v>2.4930529088591618</v>
      </c>
      <c r="O68" s="77">
        <f t="shared" si="11"/>
        <v>-5.274271308321509</v>
      </c>
      <c r="P68" s="74">
        <f t="shared" si="12"/>
        <v>0.9033302360142915</v>
      </c>
      <c r="Q68" s="74">
        <f t="shared" si="13"/>
        <v>63.429907426279705</v>
      </c>
      <c r="R68" s="78">
        <f t="shared" si="14"/>
        <v>0.994823587305943</v>
      </c>
      <c r="S68" s="78">
        <f t="shared" si="15"/>
        <v>0.07630782004868752</v>
      </c>
      <c r="T68" s="78">
        <f t="shared" si="16"/>
        <v>-0.0671094203225729</v>
      </c>
      <c r="U68" s="78">
        <f t="shared" si="17"/>
        <v>4.386276705117284</v>
      </c>
      <c r="V68" s="78">
        <f t="shared" si="18"/>
        <v>4.386276705117284</v>
      </c>
      <c r="W68" s="78">
        <f t="shared" si="19"/>
        <v>-3.847978584623989</v>
      </c>
      <c r="X68" s="78">
        <f t="shared" si="20"/>
        <v>63.45453823481676</v>
      </c>
      <c r="Y68" s="78">
        <f t="shared" si="21"/>
        <v>5.336171195740493</v>
      </c>
      <c r="Z68" s="78">
        <f t="shared" si="22"/>
        <v>-5.050097658783328</v>
      </c>
      <c r="AA68" s="78">
        <f t="shared" si="23"/>
        <v>63.87845201621061</v>
      </c>
      <c r="AB68" s="78">
        <f t="shared" si="24"/>
        <v>4.806944021081399</v>
      </c>
      <c r="AC68" s="78">
        <f t="shared" si="25"/>
        <v>4.806944021081399</v>
      </c>
      <c r="AD68" s="78">
        <f t="shared" si="26"/>
        <v>-4.5344171113022655</v>
      </c>
      <c r="AE68" s="78">
        <f t="shared" si="27"/>
        <v>229.75345654273406</v>
      </c>
      <c r="AF68" s="78">
        <f t="shared" si="28"/>
        <v>-0.454797150266748</v>
      </c>
      <c r="AG68" s="78">
        <f t="shared" si="29"/>
        <v>-27.051883280898057</v>
      </c>
    </row>
    <row r="69" spans="3:33" ht="12.75" customHeight="1">
      <c r="C69" s="10">
        <v>10</v>
      </c>
      <c r="D69" s="74">
        <f t="shared" si="0"/>
        <v>7305.916666666667</v>
      </c>
      <c r="E69" s="74">
        <f t="shared" si="1"/>
        <v>281.5187671166668</v>
      </c>
      <c r="F69" s="74">
        <f t="shared" si="2"/>
        <v>358.2416584416669</v>
      </c>
      <c r="G69" s="74">
        <f t="shared" si="3"/>
        <v>281.4587804107782</v>
      </c>
      <c r="H69" s="74">
        <f t="shared" si="4"/>
        <v>282.45670445483194</v>
      </c>
      <c r="I69" s="74">
        <f t="shared" si="5"/>
        <v>-22.941942394792004</v>
      </c>
      <c r="J69" s="74">
        <f t="shared" si="6"/>
        <v>327.14476474933326</v>
      </c>
      <c r="K69" s="74">
        <f t="shared" si="7"/>
        <v>0.16168818096682136</v>
      </c>
      <c r="L69" s="75">
        <f t="shared" si="8"/>
        <v>9.304897877058512</v>
      </c>
      <c r="M69" s="76">
        <f t="shared" si="9"/>
        <v>0.2000250969655487</v>
      </c>
      <c r="N69" s="25">
        <f t="shared" si="10"/>
        <v>2.9869435403740954</v>
      </c>
      <c r="O69" s="77">
        <f t="shared" si="11"/>
        <v>-5.278548024980832</v>
      </c>
      <c r="P69" s="74">
        <f t="shared" si="12"/>
        <v>0.9033650938239106</v>
      </c>
      <c r="Q69" s="74">
        <f t="shared" si="13"/>
        <v>63.42746008306512</v>
      </c>
      <c r="R69" s="78">
        <f t="shared" si="14"/>
        <v>0.9944064090772785</v>
      </c>
      <c r="S69" s="78">
        <f t="shared" si="15"/>
        <v>0.08420341172115653</v>
      </c>
      <c r="T69" s="78">
        <f t="shared" si="16"/>
        <v>-0.06376714667564284</v>
      </c>
      <c r="U69" s="78">
        <f t="shared" si="17"/>
        <v>4.840092077681634</v>
      </c>
      <c r="V69" s="78">
        <f t="shared" si="18"/>
        <v>4.840092077681634</v>
      </c>
      <c r="W69" s="78">
        <f t="shared" si="19"/>
        <v>-3.656068984516394</v>
      </c>
      <c r="X69" s="78">
        <f t="shared" si="20"/>
        <v>63.28483735690564</v>
      </c>
      <c r="Y69" s="78">
        <f t="shared" si="21"/>
        <v>5.911393571955539</v>
      </c>
      <c r="Z69" s="78">
        <f t="shared" si="22"/>
        <v>-4.83794149067153</v>
      </c>
      <c r="AA69" s="78">
        <f t="shared" si="23"/>
        <v>63.744183194388164</v>
      </c>
      <c r="AB69" s="78">
        <f t="shared" si="24"/>
        <v>5.336474921879838</v>
      </c>
      <c r="AC69" s="78">
        <f t="shared" si="25"/>
        <v>5.336474921879838</v>
      </c>
      <c r="AD69" s="78">
        <f t="shared" si="26"/>
        <v>-4.352717752413733</v>
      </c>
      <c r="AE69" s="78">
        <f t="shared" si="27"/>
        <v>244.26499428227544</v>
      </c>
      <c r="AF69" s="78">
        <f t="shared" si="28"/>
        <v>-0.32378011971062054</v>
      </c>
      <c r="AG69" s="78">
        <f t="shared" si="29"/>
        <v>-18.891685286745115</v>
      </c>
    </row>
    <row r="70" spans="3:33" ht="12.75" customHeight="1">
      <c r="C70" s="10">
        <v>11</v>
      </c>
      <c r="D70" s="74">
        <f t="shared" si="0"/>
        <v>7305.958333333333</v>
      </c>
      <c r="E70" s="74">
        <f t="shared" si="1"/>
        <v>281.55983575833307</v>
      </c>
      <c r="F70" s="74">
        <f t="shared" si="2"/>
        <v>358.28272512083277</v>
      </c>
      <c r="G70" s="74">
        <f t="shared" si="3"/>
        <v>281.5012496122211</v>
      </c>
      <c r="H70" s="74">
        <f t="shared" si="4"/>
        <v>282.5026477775101</v>
      </c>
      <c r="I70" s="74">
        <f t="shared" si="5"/>
        <v>-22.93829192007556</v>
      </c>
      <c r="J70" s="74">
        <f t="shared" si="6"/>
        <v>342.1398900668137</v>
      </c>
      <c r="K70" s="74">
        <f t="shared" si="7"/>
        <v>0.22440507404539184</v>
      </c>
      <c r="L70" s="75">
        <f t="shared" si="8"/>
        <v>12.967896853151311</v>
      </c>
      <c r="M70" s="76">
        <f t="shared" si="9"/>
        <v>0.20002623773671</v>
      </c>
      <c r="N70" s="25">
        <f t="shared" si="10"/>
        <v>3.48086603457118</v>
      </c>
      <c r="O70" s="77">
        <f t="shared" si="11"/>
        <v>-5.2824424820354166</v>
      </c>
      <c r="P70" s="74">
        <f t="shared" si="12"/>
        <v>0.9034053825070689</v>
      </c>
      <c r="Q70" s="74">
        <f t="shared" si="13"/>
        <v>63.42463167719609</v>
      </c>
      <c r="R70" s="78">
        <f t="shared" si="14"/>
        <v>0.99391592236074</v>
      </c>
      <c r="S70" s="78">
        <f t="shared" si="15"/>
        <v>0.0920932556914654</v>
      </c>
      <c r="T70" s="78">
        <f t="shared" si="16"/>
        <v>-0.060420123418043814</v>
      </c>
      <c r="U70" s="78">
        <f t="shared" si="17"/>
        <v>5.293739405465032</v>
      </c>
      <c r="V70" s="78">
        <f t="shared" si="18"/>
        <v>5.293739405465032</v>
      </c>
      <c r="W70" s="78">
        <f t="shared" si="19"/>
        <v>-3.463927817672905</v>
      </c>
      <c r="X70" s="78">
        <f t="shared" si="20"/>
        <v>63.09557122858003</v>
      </c>
      <c r="Y70" s="78">
        <f t="shared" si="21"/>
        <v>6.447081095889184</v>
      </c>
      <c r="Z70" s="78">
        <f t="shared" si="22"/>
        <v>-4.625477413971394</v>
      </c>
      <c r="AA70" s="78">
        <f t="shared" si="23"/>
        <v>63.592538906894944</v>
      </c>
      <c r="AB70" s="78">
        <f t="shared" si="24"/>
        <v>5.8342124735258265</v>
      </c>
      <c r="AC70" s="78">
        <f t="shared" si="25"/>
        <v>5.8342124735258265</v>
      </c>
      <c r="AD70" s="78">
        <f t="shared" si="26"/>
        <v>-4.171158764686253</v>
      </c>
      <c r="AE70" s="78">
        <f t="shared" si="27"/>
        <v>258.8083253707737</v>
      </c>
      <c r="AF70" s="78">
        <f t="shared" si="28"/>
        <v>-0.17554811948726046</v>
      </c>
      <c r="AG70" s="78">
        <f t="shared" si="29"/>
        <v>-10.110556844107023</v>
      </c>
    </row>
    <row r="71" spans="3:33" ht="12.75" customHeight="1">
      <c r="C71" s="79">
        <v>12</v>
      </c>
      <c r="D71" s="80">
        <f t="shared" si="0"/>
        <v>7306</v>
      </c>
      <c r="E71" s="80">
        <f t="shared" si="1"/>
        <v>281.6009044000002</v>
      </c>
      <c r="F71" s="80">
        <f t="shared" si="2"/>
        <v>358.32379180000044</v>
      </c>
      <c r="G71" s="80">
        <f t="shared" si="3"/>
        <v>281.54371884560885</v>
      </c>
      <c r="H71" s="80">
        <f t="shared" si="4"/>
        <v>282.5485886825001</v>
      </c>
      <c r="I71" s="80">
        <f t="shared" si="5"/>
        <v>-22.934628219194604</v>
      </c>
      <c r="J71" s="80">
        <f t="shared" si="6"/>
        <v>357.1350178020075</v>
      </c>
      <c r="K71" s="80">
        <f t="shared" si="7"/>
        <v>0.2507837045159917</v>
      </c>
      <c r="L71" s="81">
        <f t="shared" si="8"/>
        <v>14.523892616838689</v>
      </c>
      <c r="M71" s="82">
        <f t="shared" si="9"/>
        <v>0.20002737850787133</v>
      </c>
      <c r="N71" s="83">
        <f t="shared" si="10"/>
        <v>3.974826473810277</v>
      </c>
      <c r="O71" s="84">
        <f t="shared" si="11"/>
        <v>-5.285954249320945</v>
      </c>
      <c r="P71" s="80">
        <f t="shared" si="12"/>
        <v>0.9034511103539076</v>
      </c>
      <c r="Q71" s="80">
        <f t="shared" si="13"/>
        <v>63.421421728751184</v>
      </c>
      <c r="R71" s="85">
        <f t="shared" si="14"/>
        <v>0.9933521440635072</v>
      </c>
      <c r="S71" s="85">
        <f t="shared" si="15"/>
        <v>0.09997687531099828</v>
      </c>
      <c r="T71" s="85">
        <f t="shared" si="16"/>
        <v>-0.05706854919770529</v>
      </c>
      <c r="U71" s="85">
        <f t="shared" si="17"/>
        <v>5.74723485063413</v>
      </c>
      <c r="V71" s="85">
        <f t="shared" si="18"/>
        <v>5.74723485063413</v>
      </c>
      <c r="W71" s="85">
        <f t="shared" si="19"/>
        <v>-3.271564469094929</v>
      </c>
      <c r="X71" s="85">
        <f t="shared" si="20"/>
        <v>62.89738571595416</v>
      </c>
      <c r="Y71" s="85">
        <f t="shared" si="21"/>
        <v>6.940760994051982</v>
      </c>
      <c r="Z71" s="85">
        <f t="shared" si="22"/>
        <v>-4.412721866406888</v>
      </c>
      <c r="AA71" s="85">
        <f t="shared" si="23"/>
        <v>63.43285747424857</v>
      </c>
      <c r="AB71" s="85">
        <f t="shared" si="24"/>
        <v>6.297142542886965</v>
      </c>
      <c r="AC71" s="85">
        <f t="shared" si="25"/>
        <v>6.297142542886965</v>
      </c>
      <c r="AD71" s="85">
        <f t="shared" si="26"/>
        <v>-3.989016352126039</v>
      </c>
      <c r="AE71" s="85">
        <f t="shared" si="27"/>
        <v>273.38646394154057</v>
      </c>
      <c r="AF71" s="85">
        <f t="shared" si="28"/>
        <v>-0.019317064923576543</v>
      </c>
      <c r="AG71" s="85">
        <f t="shared" si="29"/>
        <v>-1.106855136961107</v>
      </c>
    </row>
    <row r="72" spans="3:33" ht="12.75" customHeight="1">
      <c r="C72" s="10">
        <v>13</v>
      </c>
      <c r="D72" s="74">
        <f t="shared" si="0"/>
        <v>7306.041666666667</v>
      </c>
      <c r="E72" s="74">
        <f t="shared" si="1"/>
        <v>281.64197304166646</v>
      </c>
      <c r="F72" s="74">
        <f t="shared" si="2"/>
        <v>358.3648584791672</v>
      </c>
      <c r="G72" s="74">
        <f t="shared" si="3"/>
        <v>281.58618811017607</v>
      </c>
      <c r="H72" s="74">
        <f t="shared" si="4"/>
        <v>282.59452716062</v>
      </c>
      <c r="I72" s="74">
        <f t="shared" si="5"/>
        <v>-22.930951295256918</v>
      </c>
      <c r="J72" s="74">
        <f t="shared" si="6"/>
        <v>12.130147964227945</v>
      </c>
      <c r="K72" s="74">
        <f t="shared" si="7"/>
        <v>0.2390287291662062</v>
      </c>
      <c r="L72" s="75">
        <f t="shared" si="8"/>
        <v>13.829222272411346</v>
      </c>
      <c r="M72" s="76">
        <f t="shared" si="9"/>
        <v>0.20002851927903265</v>
      </c>
      <c r="N72" s="25">
        <f t="shared" si="10"/>
        <v>4.468830952673217</v>
      </c>
      <c r="O72" s="77">
        <f t="shared" si="11"/>
        <v>-5.289082903895471</v>
      </c>
      <c r="P72" s="74">
        <f t="shared" si="12"/>
        <v>0.9035022848821481</v>
      </c>
      <c r="Q72" s="74">
        <f t="shared" si="13"/>
        <v>63.41782982600594</v>
      </c>
      <c r="R72" s="78">
        <f t="shared" si="14"/>
        <v>0.9927150925251303</v>
      </c>
      <c r="S72" s="78">
        <f t="shared" si="15"/>
        <v>0.10785379405768106</v>
      </c>
      <c r="T72" s="78">
        <f t="shared" si="16"/>
        <v>-0.053712622731449784</v>
      </c>
      <c r="U72" s="78">
        <f t="shared" si="17"/>
        <v>6.200594610758097</v>
      </c>
      <c r="V72" s="78">
        <f t="shared" si="18"/>
        <v>6.200594610758097</v>
      </c>
      <c r="W72" s="78">
        <f t="shared" si="19"/>
        <v>-3.0789883048298425</v>
      </c>
      <c r="X72" s="78">
        <f t="shared" si="20"/>
        <v>62.7011938725544</v>
      </c>
      <c r="Y72" s="78">
        <f t="shared" si="21"/>
        <v>7.392806146580988</v>
      </c>
      <c r="Z72" s="78">
        <f t="shared" si="22"/>
        <v>-4.199691308182776</v>
      </c>
      <c r="AA72" s="78">
        <f t="shared" si="23"/>
        <v>63.27504012522319</v>
      </c>
      <c r="AB72" s="78">
        <f t="shared" si="24"/>
        <v>6.72443327397332</v>
      </c>
      <c r="AC72" s="78">
        <f t="shared" si="25"/>
        <v>6.72443327397332</v>
      </c>
      <c r="AD72" s="78">
        <f t="shared" si="26"/>
        <v>-3.8056334090344563</v>
      </c>
      <c r="AE72" s="78">
        <f t="shared" si="27"/>
        <v>288.00024185096845</v>
      </c>
      <c r="AF72" s="78">
        <f t="shared" si="28"/>
        <v>0.13504880406062872</v>
      </c>
      <c r="AG72" s="78">
        <f t="shared" si="29"/>
        <v>7.761441999403391</v>
      </c>
    </row>
    <row r="73" spans="3:33" ht="12.75" customHeight="1">
      <c r="C73" s="10">
        <v>14</v>
      </c>
      <c r="D73" s="74">
        <f t="shared" si="0"/>
        <v>7306.083333333333</v>
      </c>
      <c r="E73" s="74">
        <f t="shared" si="1"/>
        <v>281.6830416833327</v>
      </c>
      <c r="F73" s="74">
        <f t="shared" si="2"/>
        <v>358.40592515833305</v>
      </c>
      <c r="G73" s="74">
        <f t="shared" si="3"/>
        <v>281.6286574051599</v>
      </c>
      <c r="H73" s="74">
        <f t="shared" si="4"/>
        <v>282.6404632026983</v>
      </c>
      <c r="I73" s="74">
        <f t="shared" si="5"/>
        <v>-22.927261151381558</v>
      </c>
      <c r="J73" s="74">
        <f t="shared" si="6"/>
        <v>27.125280562322587</v>
      </c>
      <c r="K73" s="74">
        <f t="shared" si="7"/>
        <v>0.18994183594529374</v>
      </c>
      <c r="L73" s="75">
        <f t="shared" si="8"/>
        <v>10.949389831651828</v>
      </c>
      <c r="M73" s="76">
        <f t="shared" si="9"/>
        <v>0.20002966005019393</v>
      </c>
      <c r="N73" s="25">
        <f t="shared" si="10"/>
        <v>4.9628855773008</v>
      </c>
      <c r="O73" s="77">
        <f t="shared" si="11"/>
        <v>-5.2918280301180465</v>
      </c>
      <c r="P73" s="74">
        <f t="shared" si="12"/>
        <v>0.9035589128327506</v>
      </c>
      <c r="Q73" s="74">
        <f t="shared" si="13"/>
        <v>63.41385562576285</v>
      </c>
      <c r="R73" s="78">
        <f t="shared" si="14"/>
        <v>0.9920047875136131</v>
      </c>
      <c r="S73" s="78">
        <f t="shared" si="15"/>
        <v>0.11572353548815645</v>
      </c>
      <c r="T73" s="78">
        <f t="shared" si="16"/>
        <v>-0.05035254282712024</v>
      </c>
      <c r="U73" s="78">
        <f t="shared" si="17"/>
        <v>6.653834917825552</v>
      </c>
      <c r="V73" s="78">
        <f t="shared" si="18"/>
        <v>6.653834917825552</v>
      </c>
      <c r="W73" s="78">
        <f t="shared" si="19"/>
        <v>-2.886208674271411</v>
      </c>
      <c r="X73" s="78">
        <f t="shared" si="20"/>
        <v>62.517428322698926</v>
      </c>
      <c r="Y73" s="78">
        <f t="shared" si="21"/>
        <v>7.806406850798995</v>
      </c>
      <c r="Z73" s="78">
        <f t="shared" si="22"/>
        <v>-3.9864022215202795</v>
      </c>
      <c r="AA73" s="78">
        <f t="shared" si="23"/>
        <v>63.128917578838156</v>
      </c>
      <c r="AB73" s="78">
        <f t="shared" si="24"/>
        <v>7.117552042810616</v>
      </c>
      <c r="AC73" s="78">
        <f t="shared" si="25"/>
        <v>7.117552042810616</v>
      </c>
      <c r="AD73" s="78">
        <f t="shared" si="26"/>
        <v>-3.6204658614684395</v>
      </c>
      <c r="AE73" s="78">
        <f t="shared" si="27"/>
        <v>302.6481917221099</v>
      </c>
      <c r="AF73" s="78">
        <f t="shared" si="28"/>
        <v>0.27766079313357533</v>
      </c>
      <c r="AG73" s="78">
        <f t="shared" si="29"/>
        <v>16.120643019833043</v>
      </c>
    </row>
    <row r="74" spans="3:33" ht="12.75" customHeight="1">
      <c r="C74" s="10">
        <v>15</v>
      </c>
      <c r="D74" s="74">
        <f t="shared" si="0"/>
        <v>7306.125</v>
      </c>
      <c r="E74" s="74">
        <f t="shared" si="1"/>
        <v>281.72411032499986</v>
      </c>
      <c r="F74" s="74">
        <f t="shared" si="2"/>
        <v>358.4469918374998</v>
      </c>
      <c r="G74" s="74">
        <f t="shared" si="3"/>
        <v>281.6711267297978</v>
      </c>
      <c r="H74" s="74">
        <f t="shared" si="4"/>
        <v>282.6863967995718</v>
      </c>
      <c r="I74" s="74">
        <f t="shared" si="5"/>
        <v>-22.923557790699054</v>
      </c>
      <c r="J74" s="74">
        <f t="shared" si="6"/>
        <v>42.12041560607031</v>
      </c>
      <c r="K74" s="74">
        <f t="shared" si="7"/>
        <v>0.10686728849679744</v>
      </c>
      <c r="L74" s="75">
        <f t="shared" si="8"/>
        <v>6.13475973152709</v>
      </c>
      <c r="M74" s="76">
        <f t="shared" si="9"/>
        <v>0.20003080082135524</v>
      </c>
      <c r="N74" s="25">
        <f t="shared" si="10"/>
        <v>5.456996464607568</v>
      </c>
      <c r="O74" s="77">
        <f t="shared" si="11"/>
        <v>-5.294189219734805</v>
      </c>
      <c r="P74" s="74">
        <f t="shared" si="12"/>
        <v>0.9036210001656944</v>
      </c>
      <c r="Q74" s="74">
        <f t="shared" si="13"/>
        <v>63.40949885366195</v>
      </c>
      <c r="R74" s="78">
        <f t="shared" si="14"/>
        <v>0.9912212502233226</v>
      </c>
      <c r="S74" s="78">
        <f t="shared" si="15"/>
        <v>0.12358562318793873</v>
      </c>
      <c r="T74" s="78">
        <f t="shared" si="16"/>
        <v>-0.046988508406730085</v>
      </c>
      <c r="U74" s="78">
        <f t="shared" si="17"/>
        <v>7.106972037171885</v>
      </c>
      <c r="V74" s="78">
        <f t="shared" si="18"/>
        <v>7.106972037171885</v>
      </c>
      <c r="W74" s="78">
        <f t="shared" si="19"/>
        <v>-2.693234912522077</v>
      </c>
      <c r="X74" s="78">
        <f t="shared" si="20"/>
        <v>62.35532658622498</v>
      </c>
      <c r="Y74" s="78">
        <f t="shared" si="21"/>
        <v>8.187349537047265</v>
      </c>
      <c r="Z74" s="78">
        <f t="shared" si="22"/>
        <v>-3.772871110243072</v>
      </c>
      <c r="AA74" s="78">
        <f t="shared" si="23"/>
        <v>63.003603091657155</v>
      </c>
      <c r="AB74" s="78">
        <f t="shared" si="24"/>
        <v>7.480232516154609</v>
      </c>
      <c r="AC74" s="78">
        <f t="shared" si="25"/>
        <v>7.480232516154609</v>
      </c>
      <c r="AD74" s="78">
        <f t="shared" si="26"/>
        <v>-3.4331210883170997</v>
      </c>
      <c r="AE74" s="78">
        <f t="shared" si="27"/>
        <v>317.3265798892826</v>
      </c>
      <c r="AF74" s="78">
        <f t="shared" si="28"/>
        <v>0.399267183720898</v>
      </c>
      <c r="AG74" s="78">
        <f t="shared" si="29"/>
        <v>23.532374585557477</v>
      </c>
    </row>
    <row r="75" spans="3:33" ht="12.75" customHeight="1">
      <c r="C75" s="10">
        <v>16</v>
      </c>
      <c r="D75" s="74">
        <f t="shared" si="0"/>
        <v>7306.166666666667</v>
      </c>
      <c r="E75" s="74">
        <f t="shared" si="1"/>
        <v>281.765178966667</v>
      </c>
      <c r="F75" s="74">
        <f t="shared" si="2"/>
        <v>358.4880585166675</v>
      </c>
      <c r="G75" s="74">
        <f t="shared" si="3"/>
        <v>281.71359608332494</v>
      </c>
      <c r="H75" s="74">
        <f t="shared" si="4"/>
        <v>282.7323279420828</v>
      </c>
      <c r="I75" s="74">
        <f t="shared" si="5"/>
        <v>-22.91984121635158</v>
      </c>
      <c r="J75" s="74">
        <f t="shared" si="6"/>
        <v>57.115553103387356</v>
      </c>
      <c r="K75" s="74">
        <f t="shared" si="7"/>
        <v>-0.004535695579071797</v>
      </c>
      <c r="L75" s="75">
        <f t="shared" si="8"/>
        <v>-0.2598771048972666</v>
      </c>
      <c r="M75" s="76">
        <f t="shared" si="9"/>
        <v>0.20003194159251655</v>
      </c>
      <c r="N75" s="25">
        <f t="shared" si="10"/>
        <v>5.951169741428978</v>
      </c>
      <c r="O75" s="77">
        <f t="shared" si="11"/>
        <v>-5.296166071974712</v>
      </c>
      <c r="P75" s="74">
        <f t="shared" si="12"/>
        <v>0.9036885520559038</v>
      </c>
      <c r="Q75" s="74">
        <f t="shared" si="13"/>
        <v>63.40475930446966</v>
      </c>
      <c r="R75" s="78">
        <f t="shared" si="14"/>
        <v>0.9903645032747519</v>
      </c>
      <c r="S75" s="78">
        <f t="shared" si="15"/>
        <v>0.13143958072047005</v>
      </c>
      <c r="T75" s="78">
        <f t="shared" si="16"/>
        <v>-0.04362071853027882</v>
      </c>
      <c r="U75" s="78">
        <f t="shared" si="17"/>
        <v>7.560022266366186</v>
      </c>
      <c r="V75" s="78">
        <f t="shared" si="18"/>
        <v>7.560022266366186</v>
      </c>
      <c r="W75" s="78">
        <f t="shared" si="19"/>
        <v>-2.500076342796704</v>
      </c>
      <c r="X75" s="78">
        <f t="shared" si="20"/>
        <v>62.22229831414013</v>
      </c>
      <c r="Y75" s="78">
        <f t="shared" si="21"/>
        <v>8.543617599364868</v>
      </c>
      <c r="Z75" s="78">
        <f t="shared" si="22"/>
        <v>-3.5591144993915833</v>
      </c>
      <c r="AA75" s="78">
        <f t="shared" si="23"/>
        <v>62.90687645399191</v>
      </c>
      <c r="AB75" s="78">
        <f t="shared" si="24"/>
        <v>7.818277994848894</v>
      </c>
      <c r="AC75" s="78">
        <f t="shared" si="25"/>
        <v>7.818277994848894</v>
      </c>
      <c r="AD75" s="78">
        <f t="shared" si="26"/>
        <v>-3.243384525625247</v>
      </c>
      <c r="AE75" s="78">
        <f t="shared" si="27"/>
        <v>332.0296030510217</v>
      </c>
      <c r="AF75" s="78">
        <f t="shared" si="28"/>
        <v>0.4919048659594867</v>
      </c>
      <c r="AG75" s="78">
        <f t="shared" si="29"/>
        <v>29.465859959750407</v>
      </c>
    </row>
    <row r="76" spans="3:33" ht="12.75" customHeight="1">
      <c r="C76" s="10">
        <v>17</v>
      </c>
      <c r="D76" s="74">
        <f t="shared" si="0"/>
        <v>7306.208333333333</v>
      </c>
      <c r="E76" s="74">
        <f t="shared" si="1"/>
        <v>281.80624760833325</v>
      </c>
      <c r="F76" s="74">
        <f t="shared" si="2"/>
        <v>358.52912519583333</v>
      </c>
      <c r="G76" s="74">
        <f t="shared" si="3"/>
        <v>281.7560654649768</v>
      </c>
      <c r="H76" s="74">
        <f t="shared" si="4"/>
        <v>282.77825662108125</v>
      </c>
      <c r="I76" s="74">
        <f t="shared" si="5"/>
        <v>-22.91611143149277</v>
      </c>
      <c r="J76" s="74">
        <f t="shared" si="6"/>
        <v>72.11069306451827</v>
      </c>
      <c r="K76" s="74">
        <f t="shared" si="7"/>
        <v>-0.13667824029563766</v>
      </c>
      <c r="L76" s="75">
        <f t="shared" si="8"/>
        <v>-7.855675604977629</v>
      </c>
      <c r="M76" s="76">
        <f t="shared" si="9"/>
        <v>0.20003308236367784</v>
      </c>
      <c r="N76" s="25">
        <f t="shared" si="10"/>
        <v>6.445411543780641</v>
      </c>
      <c r="O76" s="77">
        <f t="shared" si="11"/>
        <v>-5.29775819365576</v>
      </c>
      <c r="P76" s="74">
        <f t="shared" si="12"/>
        <v>0.9037615728893303</v>
      </c>
      <c r="Q76" s="74">
        <f t="shared" si="13"/>
        <v>63.39963684234519</v>
      </c>
      <c r="R76" s="78">
        <f t="shared" si="14"/>
        <v>0.9894345707158573</v>
      </c>
      <c r="S76" s="78">
        <f t="shared" si="15"/>
        <v>0.13928493157796737</v>
      </c>
      <c r="T76" s="78">
        <f t="shared" si="16"/>
        <v>-0.040249372418995</v>
      </c>
      <c r="U76" s="78">
        <f t="shared" si="17"/>
        <v>8.013001934220721</v>
      </c>
      <c r="V76" s="78">
        <f t="shared" si="18"/>
        <v>8.013001934220721</v>
      </c>
      <c r="W76" s="78">
        <f t="shared" si="19"/>
        <v>-2.306742278796885</v>
      </c>
      <c r="X76" s="78">
        <f t="shared" si="20"/>
        <v>62.12341779200425</v>
      </c>
      <c r="Y76" s="78">
        <f t="shared" si="21"/>
        <v>8.884841692247178</v>
      </c>
      <c r="Z76" s="78">
        <f t="shared" si="22"/>
        <v>-3.3451489347878223</v>
      </c>
      <c r="AA76" s="78">
        <f t="shared" si="23"/>
        <v>62.84464552730102</v>
      </c>
      <c r="AB76" s="78">
        <f t="shared" si="24"/>
        <v>8.13920179536452</v>
      </c>
      <c r="AC76" s="78">
        <f t="shared" si="25"/>
        <v>8.13920179536452</v>
      </c>
      <c r="AD76" s="78">
        <f t="shared" si="26"/>
        <v>-3.0512311205568903</v>
      </c>
      <c r="AE76" s="78">
        <f t="shared" si="27"/>
        <v>346.7497478905134</v>
      </c>
      <c r="AF76" s="78">
        <f t="shared" si="28"/>
        <v>0.5494857971565839</v>
      </c>
      <c r="AG76" s="78">
        <f t="shared" si="29"/>
        <v>33.33174365552601</v>
      </c>
    </row>
    <row r="77" spans="3:33" ht="12.75" customHeight="1">
      <c r="C77" s="10">
        <v>18</v>
      </c>
      <c r="D77" s="74">
        <f t="shared" si="0"/>
        <v>7306.25</v>
      </c>
      <c r="E77" s="74">
        <f t="shared" si="1"/>
        <v>281.8473162499995</v>
      </c>
      <c r="F77" s="74">
        <f t="shared" si="2"/>
        <v>358.5701918750001</v>
      </c>
      <c r="G77" s="74">
        <f t="shared" si="3"/>
        <v>281.79853487399066</v>
      </c>
      <c r="H77" s="74">
        <f t="shared" si="4"/>
        <v>282.8241828274273</v>
      </c>
      <c r="I77" s="74">
        <f t="shared" si="5"/>
        <v>-22.91236843928758</v>
      </c>
      <c r="J77" s="74">
        <f t="shared" si="6"/>
        <v>87.10583549877629</v>
      </c>
      <c r="K77" s="74">
        <f t="shared" si="7"/>
        <v>-0.2805585488318748</v>
      </c>
      <c r="L77" s="75">
        <f t="shared" si="8"/>
        <v>-16.293543467025295</v>
      </c>
      <c r="M77" s="76">
        <f t="shared" si="9"/>
        <v>0.20003422313483915</v>
      </c>
      <c r="N77" s="25">
        <f t="shared" si="10"/>
        <v>6.93972801609041</v>
      </c>
      <c r="O77" s="77">
        <f t="shared" si="11"/>
        <v>-5.298965199299965</v>
      </c>
      <c r="P77" s="74">
        <f t="shared" si="12"/>
        <v>0.9038400662591886</v>
      </c>
      <c r="Q77" s="74">
        <f t="shared" si="13"/>
        <v>63.39413140108479</v>
      </c>
      <c r="R77" s="78">
        <f t="shared" si="14"/>
        <v>0.9884314780251521</v>
      </c>
      <c r="S77" s="78">
        <f t="shared" si="15"/>
        <v>0.1471211991318655</v>
      </c>
      <c r="T77" s="78">
        <f t="shared" si="16"/>
        <v>-0.03687466947892706</v>
      </c>
      <c r="U77" s="78">
        <f t="shared" si="17"/>
        <v>8.465927399793143</v>
      </c>
      <c r="V77" s="78">
        <f t="shared" si="18"/>
        <v>8.465927399793143</v>
      </c>
      <c r="W77" s="78">
        <f t="shared" si="19"/>
        <v>-2.113242027108776</v>
      </c>
      <c r="X77" s="78">
        <f t="shared" si="20"/>
        <v>62.06107648476329</v>
      </c>
      <c r="Y77" s="78">
        <f t="shared" si="21"/>
        <v>9.221637159116117</v>
      </c>
      <c r="Z77" s="78">
        <f t="shared" si="22"/>
        <v>-3.130990982609908</v>
      </c>
      <c r="AA77" s="78">
        <f t="shared" si="23"/>
        <v>62.82052937436308</v>
      </c>
      <c r="AB77" s="78">
        <f t="shared" si="24"/>
        <v>8.451723539200572</v>
      </c>
      <c r="AC77" s="78">
        <f t="shared" si="25"/>
        <v>8.451723539200572</v>
      </c>
      <c r="AD77" s="78">
        <f t="shared" si="26"/>
        <v>-2.8568196410725757</v>
      </c>
      <c r="AE77" s="78">
        <f t="shared" si="27"/>
        <v>1.4782947869971395</v>
      </c>
      <c r="AF77" s="78">
        <f t="shared" si="28"/>
        <v>0.568261569377425</v>
      </c>
      <c r="AG77" s="78">
        <f t="shared" si="29"/>
        <v>34.62908845391153</v>
      </c>
    </row>
    <row r="78" spans="3:33" ht="12.75" customHeight="1">
      <c r="C78" s="10">
        <v>19</v>
      </c>
      <c r="D78" s="74">
        <f t="shared" si="0"/>
        <v>7306.291666666667</v>
      </c>
      <c r="E78" s="74">
        <f t="shared" si="1"/>
        <v>281.88838489166665</v>
      </c>
      <c r="F78" s="74">
        <f t="shared" si="2"/>
        <v>358.61125855416685</v>
      </c>
      <c r="G78" s="74">
        <f t="shared" si="3"/>
        <v>281.8410043096035</v>
      </c>
      <c r="H78" s="74">
        <f t="shared" si="4"/>
        <v>282.87010655198867</v>
      </c>
      <c r="I78" s="74">
        <f t="shared" si="5"/>
        <v>-22.90861224291241</v>
      </c>
      <c r="J78" s="74">
        <f t="shared" si="6"/>
        <v>102.10098041500896</v>
      </c>
      <c r="K78" s="74">
        <f t="shared" si="7"/>
        <v>-0.4263748979900098</v>
      </c>
      <c r="L78" s="75">
        <f t="shared" si="8"/>
        <v>-25.23772104696837</v>
      </c>
      <c r="M78" s="76">
        <f t="shared" si="9"/>
        <v>0.20003536390600046</v>
      </c>
      <c r="N78" s="25">
        <f t="shared" si="10"/>
        <v>7.434125310326498</v>
      </c>
      <c r="O78" s="77">
        <f t="shared" si="11"/>
        <v>-5.299786711257502</v>
      </c>
      <c r="P78" s="74">
        <f t="shared" si="12"/>
        <v>0.9039240349623249</v>
      </c>
      <c r="Q78" s="74">
        <f t="shared" si="13"/>
        <v>63.38824298434492</v>
      </c>
      <c r="R78" s="78">
        <f t="shared" si="14"/>
        <v>0.9873552521167597</v>
      </c>
      <c r="S78" s="78">
        <f t="shared" si="15"/>
        <v>0.15494790658167779</v>
      </c>
      <c r="T78" s="78">
        <f t="shared" si="16"/>
        <v>-0.0334968093253994</v>
      </c>
      <c r="U78" s="78">
        <f t="shared" si="17"/>
        <v>8.918815051309485</v>
      </c>
      <c r="V78" s="78">
        <f t="shared" si="18"/>
        <v>8.918815051309485</v>
      </c>
      <c r="W78" s="78">
        <f t="shared" si="19"/>
        <v>-1.9195848896542704</v>
      </c>
      <c r="X78" s="78">
        <f t="shared" si="20"/>
        <v>62.03481943058336</v>
      </c>
      <c r="Y78" s="78">
        <f t="shared" si="21"/>
        <v>9.564873991817972</v>
      </c>
      <c r="Z78" s="78">
        <f t="shared" si="22"/>
        <v>-2.916657229009923</v>
      </c>
      <c r="AA78" s="78">
        <f t="shared" si="23"/>
        <v>62.83559919071334</v>
      </c>
      <c r="AB78" s="78">
        <f t="shared" si="24"/>
        <v>8.765158759973481</v>
      </c>
      <c r="AC78" s="78">
        <f t="shared" si="25"/>
        <v>8.765158759973481</v>
      </c>
      <c r="AD78" s="78">
        <f t="shared" si="26"/>
        <v>-2.6604698430492024</v>
      </c>
      <c r="AE78" s="78">
        <f t="shared" si="27"/>
        <v>16.205928206909448</v>
      </c>
      <c r="AF78" s="78">
        <f t="shared" si="28"/>
        <v>0.5471167926453948</v>
      </c>
      <c r="AG78" s="78">
        <f t="shared" si="29"/>
        <v>33.169436864516875</v>
      </c>
    </row>
    <row r="79" spans="3:33" ht="12.75" customHeight="1">
      <c r="C79" s="10">
        <v>20</v>
      </c>
      <c r="D79" s="74">
        <f t="shared" si="0"/>
        <v>7306.333333333333</v>
      </c>
      <c r="E79" s="74">
        <f t="shared" si="1"/>
        <v>281.9294535333329</v>
      </c>
      <c r="F79" s="74">
        <f t="shared" si="2"/>
        <v>358.6523252333336</v>
      </c>
      <c r="G79" s="74">
        <f t="shared" si="3"/>
        <v>281.88347377104986</v>
      </c>
      <c r="H79" s="74">
        <f t="shared" si="4"/>
        <v>282.91602778563833</v>
      </c>
      <c r="I79" s="74">
        <f t="shared" si="5"/>
        <v>-22.904842845555336</v>
      </c>
      <c r="J79" s="74">
        <f t="shared" si="6"/>
        <v>117.09612782066688</v>
      </c>
      <c r="K79" s="74">
        <f t="shared" si="7"/>
        <v>-0.5641931467948669</v>
      </c>
      <c r="L79" s="75">
        <f t="shared" si="8"/>
        <v>-34.34628072638595</v>
      </c>
      <c r="M79" s="76">
        <f t="shared" si="9"/>
        <v>0.20003650467716175</v>
      </c>
      <c r="N79" s="25">
        <f t="shared" si="10"/>
        <v>7.928609585233782</v>
      </c>
      <c r="O79" s="77">
        <f t="shared" si="11"/>
        <v>-5.300222359840932</v>
      </c>
      <c r="P79" s="74">
        <f t="shared" si="12"/>
        <v>0.9040134809957397</v>
      </c>
      <c r="Q79" s="74">
        <f t="shared" si="13"/>
        <v>63.38197166584319</v>
      </c>
      <c r="R79" s="78">
        <f t="shared" si="14"/>
        <v>0.9862059213470227</v>
      </c>
      <c r="S79" s="78">
        <f t="shared" si="15"/>
        <v>0.1627645769056744</v>
      </c>
      <c r="T79" s="78">
        <f t="shared" si="16"/>
        <v>-0.03011599180687794</v>
      </c>
      <c r="U79" s="78">
        <f t="shared" si="17"/>
        <v>9.37168130520072</v>
      </c>
      <c r="V79" s="78">
        <f t="shared" si="18"/>
        <v>9.37168130520072</v>
      </c>
      <c r="W79" s="78">
        <f t="shared" si="19"/>
        <v>-1.7257801661121863</v>
      </c>
      <c r="X79" s="78">
        <f t="shared" si="20"/>
        <v>62.04137669395495</v>
      </c>
      <c r="Y79" s="78">
        <f t="shared" si="21"/>
        <v>9.924929343719095</v>
      </c>
      <c r="Z79" s="78">
        <f t="shared" si="22"/>
        <v>-2.7021642796835383</v>
      </c>
      <c r="AA79" s="78">
        <f t="shared" si="23"/>
        <v>62.88830047277022</v>
      </c>
      <c r="AB79" s="78">
        <f t="shared" si="24"/>
        <v>9.088754306257124</v>
      </c>
      <c r="AC79" s="78">
        <f t="shared" si="25"/>
        <v>9.088754306257124</v>
      </c>
      <c r="AD79" s="78">
        <f t="shared" si="26"/>
        <v>-2.4626247919558533</v>
      </c>
      <c r="AE79" s="78">
        <f t="shared" si="27"/>
        <v>30.923401300329715</v>
      </c>
      <c r="AF79" s="78">
        <f t="shared" si="28"/>
        <v>0.4876582403650396</v>
      </c>
      <c r="AG79" s="78">
        <f t="shared" si="29"/>
        <v>29.186780375892372</v>
      </c>
    </row>
    <row r="80" spans="3:33" ht="12.75" customHeight="1">
      <c r="C80" s="10">
        <v>21</v>
      </c>
      <c r="D80" s="74">
        <f t="shared" si="0"/>
        <v>7306.375</v>
      </c>
      <c r="E80" s="74">
        <f t="shared" si="1"/>
        <v>281.97052217500004</v>
      </c>
      <c r="F80" s="74">
        <f t="shared" si="2"/>
        <v>358.6933919125004</v>
      </c>
      <c r="G80" s="74">
        <f t="shared" si="3"/>
        <v>281.9259432575678</v>
      </c>
      <c r="H80" s="74">
        <f t="shared" si="4"/>
        <v>282.9619465192609</v>
      </c>
      <c r="I80" s="74">
        <f t="shared" si="5"/>
        <v>-22.90106025041555</v>
      </c>
      <c r="J80" s="74">
        <f t="shared" si="6"/>
        <v>132.09127772785723</v>
      </c>
      <c r="K80" s="74">
        <f t="shared" si="7"/>
        <v>-0.6846233014739058</v>
      </c>
      <c r="L80" s="75">
        <f t="shared" si="8"/>
        <v>-43.20598914312853</v>
      </c>
      <c r="M80" s="76">
        <f t="shared" si="9"/>
        <v>0.20003764544832306</v>
      </c>
      <c r="N80" s="25">
        <f t="shared" si="10"/>
        <v>8.423187005553933</v>
      </c>
      <c r="O80" s="77">
        <f t="shared" si="11"/>
        <v>-5.300271783468158</v>
      </c>
      <c r="P80" s="74">
        <f t="shared" si="12"/>
        <v>0.904108405553293</v>
      </c>
      <c r="Q80" s="74">
        <f t="shared" si="13"/>
        <v>63.375317589534646</v>
      </c>
      <c r="R80" s="78">
        <f t="shared" si="14"/>
        <v>0.9849835155228799</v>
      </c>
      <c r="S80" s="78">
        <f t="shared" si="15"/>
        <v>0.17057073281142635</v>
      </c>
      <c r="T80" s="78">
        <f t="shared" si="16"/>
        <v>-0.026732417029065265</v>
      </c>
      <c r="U80" s="78">
        <f t="shared" si="17"/>
        <v>9.824542605136715</v>
      </c>
      <c r="V80" s="78">
        <f t="shared" si="18"/>
        <v>9.824542605136715</v>
      </c>
      <c r="W80" s="78">
        <f t="shared" si="19"/>
        <v>-1.5318371563566955</v>
      </c>
      <c r="X80" s="78">
        <f t="shared" si="20"/>
        <v>62.07488772296293</v>
      </c>
      <c r="Y80" s="78">
        <f t="shared" si="21"/>
        <v>10.310973814085079</v>
      </c>
      <c r="Z80" s="78">
        <f t="shared" si="22"/>
        <v>-2.487528759444131</v>
      </c>
      <c r="AA80" s="78">
        <f t="shared" si="23"/>
        <v>62.97456364392106</v>
      </c>
      <c r="AB80" s="78">
        <f t="shared" si="24"/>
        <v>9.431030076170005</v>
      </c>
      <c r="AC80" s="78">
        <f t="shared" si="25"/>
        <v>9.431030076170005</v>
      </c>
      <c r="AD80" s="78">
        <f t="shared" si="26"/>
        <v>-2.2638027251405344</v>
      </c>
      <c r="AE80" s="78">
        <f t="shared" si="27"/>
        <v>45.62219417095184</v>
      </c>
      <c r="AF80" s="78">
        <f t="shared" si="28"/>
        <v>0.39408937958350937</v>
      </c>
      <c r="AG80" s="78">
        <f t="shared" si="29"/>
        <v>23.2091930952841</v>
      </c>
    </row>
    <row r="81" spans="3:33" ht="12.75" customHeight="1">
      <c r="C81" s="10">
        <v>22</v>
      </c>
      <c r="D81" s="74">
        <f t="shared" si="0"/>
        <v>7306.416666666667</v>
      </c>
      <c r="E81" s="74">
        <f t="shared" si="1"/>
        <v>282.0115908166672</v>
      </c>
      <c r="F81" s="74">
        <f t="shared" si="2"/>
        <v>358.73445859166713</v>
      </c>
      <c r="G81" s="74">
        <f t="shared" si="3"/>
        <v>281.96841276839245</v>
      </c>
      <c r="H81" s="74">
        <f t="shared" si="4"/>
        <v>283.0078627437459</v>
      </c>
      <c r="I81" s="74">
        <f t="shared" si="5"/>
        <v>-22.897264460703934</v>
      </c>
      <c r="J81" s="74">
        <f t="shared" si="6"/>
        <v>147.08643014356494</v>
      </c>
      <c r="K81" s="74">
        <f t="shared" si="7"/>
        <v>-0.7794590593832502</v>
      </c>
      <c r="L81" s="75">
        <f t="shared" si="8"/>
        <v>-51.211074039071505</v>
      </c>
      <c r="M81" s="76">
        <f t="shared" si="9"/>
        <v>0.20003878621948437</v>
      </c>
      <c r="N81" s="25">
        <f t="shared" si="10"/>
        <v>8.917863741137879</v>
      </c>
      <c r="O81" s="77">
        <f t="shared" si="11"/>
        <v>-5.299934628814858</v>
      </c>
      <c r="P81" s="74">
        <f t="shared" si="12"/>
        <v>0.9042088090225192</v>
      </c>
      <c r="Q81" s="74">
        <f t="shared" si="13"/>
        <v>63.36828096976866</v>
      </c>
      <c r="R81" s="78">
        <f t="shared" si="14"/>
        <v>0.983688065912271</v>
      </c>
      <c r="S81" s="78">
        <f t="shared" si="15"/>
        <v>0.17836589668481267</v>
      </c>
      <c r="T81" s="78">
        <f t="shared" si="16"/>
        <v>-0.023346285379848092</v>
      </c>
      <c r="U81" s="78">
        <f t="shared" si="17"/>
        <v>10.27741542097232</v>
      </c>
      <c r="V81" s="78">
        <f t="shared" si="18"/>
        <v>10.27741542097232</v>
      </c>
      <c r="W81" s="78">
        <f t="shared" si="19"/>
        <v>-1.3377651629488456</v>
      </c>
      <c r="X81" s="78">
        <f t="shared" si="20"/>
        <v>62.127303237728825</v>
      </c>
      <c r="Y81" s="78">
        <f t="shared" si="21"/>
        <v>10.730340407557506</v>
      </c>
      <c r="Z81" s="78">
        <f t="shared" si="22"/>
        <v>-2.2727673118418514</v>
      </c>
      <c r="AA81" s="78">
        <f t="shared" si="23"/>
        <v>63.08809304542775</v>
      </c>
      <c r="AB81" s="78">
        <f t="shared" si="24"/>
        <v>9.799186665110714</v>
      </c>
      <c r="AC81" s="78">
        <f t="shared" si="25"/>
        <v>9.799186665110714</v>
      </c>
      <c r="AD81" s="78">
        <f t="shared" si="26"/>
        <v>-2.0645442272599426</v>
      </c>
      <c r="AE81" s="78">
        <f t="shared" si="27"/>
        <v>60.2951062223874</v>
      </c>
      <c r="AF81" s="78">
        <f t="shared" si="28"/>
        <v>0.2728846862607599</v>
      </c>
      <c r="AG81" s="78">
        <f t="shared" si="29"/>
        <v>15.835994854946339</v>
      </c>
    </row>
    <row r="82" spans="3:33" ht="12.75" customHeight="1">
      <c r="C82" s="10">
        <v>23</v>
      </c>
      <c r="D82" s="74">
        <f t="shared" si="0"/>
        <v>7306.458333333333</v>
      </c>
      <c r="E82" s="74">
        <f t="shared" si="1"/>
        <v>282.0526594583325</v>
      </c>
      <c r="F82" s="74">
        <f t="shared" si="2"/>
        <v>358.775525270833</v>
      </c>
      <c r="G82" s="74">
        <f t="shared" si="3"/>
        <v>282.0108823027584</v>
      </c>
      <c r="H82" s="74">
        <f t="shared" si="4"/>
        <v>283.0537764499901</v>
      </c>
      <c r="I82" s="74">
        <f t="shared" si="5"/>
        <v>-22.893455479642824</v>
      </c>
      <c r="J82" s="74">
        <f t="shared" si="6"/>
        <v>162.0815850775689</v>
      </c>
      <c r="K82" s="74">
        <f t="shared" si="7"/>
        <v>-0.8422367736174672</v>
      </c>
      <c r="L82" s="75">
        <f t="shared" si="8"/>
        <v>-57.37707662026062</v>
      </c>
      <c r="M82" s="76">
        <f t="shared" si="9"/>
        <v>0.20003992699064566</v>
      </c>
      <c r="N82" s="25">
        <f t="shared" si="10"/>
        <v>9.412645966158873</v>
      </c>
      <c r="O82" s="77">
        <f t="shared" si="11"/>
        <v>-5.299210550976106</v>
      </c>
      <c r="P82" s="74">
        <f t="shared" si="12"/>
        <v>0.9043146909816275</v>
      </c>
      <c r="Q82" s="74">
        <f t="shared" si="13"/>
        <v>63.36086209142126</v>
      </c>
      <c r="R82" s="78">
        <f t="shared" si="14"/>
        <v>0.9823196052560912</v>
      </c>
      <c r="S82" s="78">
        <f t="shared" si="15"/>
        <v>0.18614959054081148</v>
      </c>
      <c r="T82" s="78">
        <f t="shared" si="16"/>
        <v>-0.019957797553651555</v>
      </c>
      <c r="U82" s="78">
        <f t="shared" si="17"/>
        <v>10.730316247794315</v>
      </c>
      <c r="V82" s="78">
        <f t="shared" si="18"/>
        <v>10.730316247794315</v>
      </c>
      <c r="W82" s="78">
        <f t="shared" si="19"/>
        <v>-1.1435734935985156</v>
      </c>
      <c r="X82" s="78">
        <f t="shared" si="20"/>
        <v>62.188937112754836</v>
      </c>
      <c r="Y82" s="78">
        <f t="shared" si="21"/>
        <v>11.188019407688515</v>
      </c>
      <c r="Z82" s="78">
        <f t="shared" si="22"/>
        <v>-2.057896598736656</v>
      </c>
      <c r="AA82" s="78">
        <f t="shared" si="23"/>
        <v>63.22080840903636</v>
      </c>
      <c r="AB82" s="78">
        <f t="shared" si="24"/>
        <v>10.198628781239707</v>
      </c>
      <c r="AC82" s="78">
        <f t="shared" si="25"/>
        <v>10.198628781239707</v>
      </c>
      <c r="AD82" s="78">
        <f t="shared" si="26"/>
        <v>-1.8653608623467524</v>
      </c>
      <c r="AE82" s="78">
        <f t="shared" si="27"/>
        <v>74.93673274619505</v>
      </c>
      <c r="AF82" s="78">
        <f t="shared" si="28"/>
        <v>0.13230002507996158</v>
      </c>
      <c r="AG82" s="78">
        <f t="shared" si="29"/>
        <v>7.602522255180872</v>
      </c>
    </row>
    <row r="83" spans="3:33" ht="12.75" customHeight="1">
      <c r="C83" s="10">
        <v>24</v>
      </c>
      <c r="D83" s="74">
        <f t="shared" si="0"/>
        <v>7306.5</v>
      </c>
      <c r="E83" s="74">
        <f t="shared" si="1"/>
        <v>282.0937280999997</v>
      </c>
      <c r="F83" s="74">
        <f t="shared" si="2"/>
        <v>358.81659194999975</v>
      </c>
      <c r="G83" s="74">
        <f t="shared" si="3"/>
        <v>282.0533518599054</v>
      </c>
      <c r="H83" s="74">
        <f t="shared" si="4"/>
        <v>283.0996876289042</v>
      </c>
      <c r="I83" s="74">
        <f t="shared" si="5"/>
        <v>-22.889633310465495</v>
      </c>
      <c r="J83" s="74">
        <f t="shared" si="6"/>
        <v>177.07674253871664</v>
      </c>
      <c r="K83" s="74">
        <f t="shared" si="7"/>
        <v>-0.868675764845467</v>
      </c>
      <c r="L83" s="75">
        <f t="shared" si="8"/>
        <v>-60.30511760166667</v>
      </c>
      <c r="M83" s="76">
        <f t="shared" si="9"/>
        <v>0.20004106776180697</v>
      </c>
      <c r="N83" s="25">
        <f t="shared" si="10"/>
        <v>9.90753985833405</v>
      </c>
      <c r="O83" s="77">
        <f t="shared" si="11"/>
        <v>-5.298099213636989</v>
      </c>
      <c r="P83" s="74">
        <f t="shared" si="12"/>
        <v>0.9044260501966556</v>
      </c>
      <c r="Q83" s="74">
        <f t="shared" si="13"/>
        <v>63.35306131000467</v>
      </c>
      <c r="R83" s="78">
        <f t="shared" si="14"/>
        <v>0.9808781677818657</v>
      </c>
      <c r="S83" s="78">
        <f t="shared" si="15"/>
        <v>0.19392133597464536</v>
      </c>
      <c r="T83" s="78">
        <f t="shared" si="16"/>
        <v>-0.01656715457581702</v>
      </c>
      <c r="U83" s="78">
        <f t="shared" si="17"/>
        <v>11.183261604983029</v>
      </c>
      <c r="V83" s="78">
        <f t="shared" si="18"/>
        <v>11.183261604983029</v>
      </c>
      <c r="W83" s="78">
        <f t="shared" si="19"/>
        <v>-0.9492714636323518</v>
      </c>
      <c r="X83" s="78">
        <f t="shared" si="20"/>
        <v>62.24913043823118</v>
      </c>
      <c r="Y83" s="78">
        <f t="shared" si="21"/>
        <v>11.68631377586823</v>
      </c>
      <c r="Z83" s="78">
        <f t="shared" si="22"/>
        <v>-1.8429332998652952</v>
      </c>
      <c r="AA83" s="78">
        <f t="shared" si="23"/>
        <v>63.363400896193376</v>
      </c>
      <c r="AB83" s="78">
        <f t="shared" si="24"/>
        <v>10.632638182583534</v>
      </c>
      <c r="AC83" s="78">
        <f t="shared" si="25"/>
        <v>10.632638182583534</v>
      </c>
      <c r="AD83" s="78">
        <f t="shared" si="26"/>
        <v>-1.6666907352568394</v>
      </c>
      <c r="AE83" s="78">
        <f t="shared" si="27"/>
        <v>89.54379198513925</v>
      </c>
      <c r="AF83" s="78">
        <f t="shared" si="28"/>
        <v>-0.018229733173712362</v>
      </c>
      <c r="AG83" s="78">
        <f t="shared" si="29"/>
        <v>-1.0445446323492584</v>
      </c>
    </row>
  </sheetData>
  <sheetProtection selectLockedCells="1" selectUnlockedCells="1"/>
  <mergeCells count="3">
    <mergeCell ref="A4:B4"/>
    <mergeCell ref="A10:B10"/>
    <mergeCell ref="A18:B18"/>
  </mergeCells>
  <hyperlinks>
    <hyperlink ref="C26" r:id="rId1" display="ping.keith@gmail.com"/>
    <hyperlink ref="C27" r:id="rId2" display="http://k58.uk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scale="150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Burnett</dc:creator>
  <cp:keywords/>
  <dc:description/>
  <cp:lastModifiedBy/>
  <cp:lastPrinted>2002-12-12T21:53:30Z</cp:lastPrinted>
  <dcterms:created xsi:type="dcterms:W3CDTF">2001-07-31T18:19:39Z</dcterms:created>
  <dcterms:modified xsi:type="dcterms:W3CDTF">2020-01-01T18:07:00Z</dcterms:modified>
  <cp:category/>
  <cp:version/>
  <cp:contentType/>
  <cp:contentStatus/>
  <cp:revision>13</cp:revision>
</cp:coreProperties>
</file>